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90" windowWidth="15300" windowHeight="6090"/>
  </bookViews>
  <sheets>
    <sheet name="GÓI 1" sheetId="1" r:id="rId1"/>
    <sheet name="GÓI 2" sheetId="2" r:id="rId2"/>
    <sheet name="GÓI 3" sheetId="3" r:id="rId3"/>
  </sheets>
  <externalReferences>
    <externalReference r:id="rId4"/>
  </externalReferences>
  <calcPr calcId="124519"/>
</workbook>
</file>

<file path=xl/calcChain.xml><?xml version="1.0" encoding="utf-8"?>
<calcChain xmlns="http://schemas.openxmlformats.org/spreadsheetml/2006/main">
  <c r="R759" i="1"/>
  <c r="Q759" s="1"/>
  <c r="R760"/>
  <c r="Q760" s="1"/>
  <c r="R761"/>
  <c r="Q761" s="1"/>
  <c r="R762"/>
  <c r="Q762" s="1"/>
  <c r="R763"/>
  <c r="Q763" s="1"/>
  <c r="R764"/>
  <c r="Q764" s="1"/>
  <c r="R765"/>
  <c r="Q765" s="1"/>
  <c r="R766"/>
  <c r="Q766" s="1"/>
  <c r="R767"/>
  <c r="Q767" s="1"/>
  <c r="R768"/>
  <c r="Q768" s="1"/>
  <c r="R758"/>
  <c r="Q758" s="1"/>
  <c r="R757"/>
  <c r="Q757" s="1"/>
  <c r="R756"/>
  <c r="Q756" s="1"/>
  <c r="R755"/>
  <c r="Q755" s="1"/>
  <c r="R754"/>
  <c r="Q754" s="1"/>
  <c r="R780"/>
  <c r="Q780" s="1"/>
  <c r="R781"/>
  <c r="Q781" s="1"/>
  <c r="R782"/>
  <c r="Q782" s="1"/>
  <c r="R783"/>
  <c r="Q783" s="1"/>
  <c r="R784"/>
  <c r="Q784" s="1"/>
  <c r="R785"/>
  <c r="Q785" s="1"/>
  <c r="R779"/>
  <c r="Q779" s="1"/>
  <c r="R796"/>
  <c r="Q796" s="1"/>
  <c r="R797"/>
  <c r="Q797" s="1"/>
  <c r="R798"/>
  <c r="Q798" s="1"/>
  <c r="R799"/>
  <c r="Q799" s="1"/>
  <c r="R800"/>
  <c r="Q800" s="1"/>
  <c r="R795"/>
  <c r="Q795" s="1"/>
  <c r="Q812"/>
  <c r="R812"/>
  <c r="Q813"/>
  <c r="R813"/>
  <c r="Q814"/>
  <c r="R814"/>
  <c r="Q815"/>
  <c r="R815"/>
  <c r="Q816"/>
  <c r="R816"/>
  <c r="Q817"/>
  <c r="R817"/>
  <c r="Q818"/>
  <c r="R818"/>
  <c r="Q819"/>
  <c r="R819"/>
  <c r="Q820"/>
  <c r="R820"/>
  <c r="Q821"/>
  <c r="R821"/>
  <c r="Q822"/>
  <c r="R822"/>
  <c r="Q823"/>
  <c r="R823"/>
  <c r="Q824"/>
  <c r="R824"/>
  <c r="Q825"/>
  <c r="R825"/>
  <c r="Q826"/>
  <c r="R826"/>
  <c r="Q827"/>
  <c r="R827"/>
  <c r="Q828"/>
  <c r="R828"/>
  <c r="Q829"/>
  <c r="R829"/>
  <c r="Q830"/>
  <c r="R830"/>
  <c r="Q831"/>
  <c r="R831"/>
  <c r="Q832"/>
  <c r="R832"/>
  <c r="Q833"/>
  <c r="R833"/>
  <c r="Q834"/>
  <c r="R834"/>
  <c r="Q835"/>
  <c r="R835"/>
  <c r="Q836"/>
  <c r="R836"/>
  <c r="Q837"/>
  <c r="R837"/>
  <c r="Q838"/>
  <c r="R838"/>
  <c r="Q839"/>
  <c r="R839"/>
  <c r="Q840"/>
  <c r="R840"/>
  <c r="Q841"/>
  <c r="R841"/>
  <c r="Q842"/>
  <c r="R842"/>
  <c r="Q843"/>
  <c r="R843"/>
  <c r="Q844"/>
  <c r="R844"/>
  <c r="Q845"/>
  <c r="R845"/>
  <c r="Q846"/>
  <c r="R846"/>
  <c r="R856"/>
  <c r="Q856" s="1"/>
  <c r="Q857"/>
  <c r="R857"/>
  <c r="Q858"/>
  <c r="R858"/>
  <c r="Q859"/>
  <c r="R859"/>
  <c r="Q860"/>
  <c r="R860"/>
  <c r="Q861"/>
  <c r="R861"/>
  <c r="Q862"/>
  <c r="R862"/>
  <c r="Q863"/>
  <c r="R863"/>
  <c r="Q864"/>
  <c r="R864"/>
  <c r="Q865"/>
  <c r="R865"/>
  <c r="Q866"/>
  <c r="R866"/>
  <c r="R867"/>
  <c r="Q867" s="1"/>
  <c r="R868"/>
  <c r="Q868" s="1"/>
  <c r="R855"/>
  <c r="Q855" s="1"/>
  <c r="R878"/>
  <c r="Q878" s="1"/>
  <c r="Q879"/>
  <c r="R879"/>
  <c r="Q880"/>
  <c r="R880"/>
  <c r="Q881"/>
  <c r="R881"/>
  <c r="Q882"/>
  <c r="R882"/>
  <c r="Q883"/>
  <c r="R883"/>
  <c r="Q884"/>
  <c r="R884"/>
  <c r="Q885"/>
  <c r="R885"/>
  <c r="Q886"/>
  <c r="R886"/>
  <c r="Q887"/>
  <c r="R887"/>
  <c r="Q888"/>
  <c r="R888"/>
  <c r="Q889"/>
  <c r="R889"/>
  <c r="Q890"/>
  <c r="R890"/>
  <c r="Q891"/>
  <c r="R891"/>
  <c r="Q892"/>
  <c r="R892"/>
  <c r="Q893"/>
  <c r="R893"/>
  <c r="Q894"/>
  <c r="R894"/>
  <c r="Q895"/>
  <c r="R895"/>
  <c r="Q896"/>
  <c r="R896"/>
  <c r="Q897"/>
  <c r="R897"/>
  <c r="Q898"/>
  <c r="R898"/>
  <c r="Q899"/>
  <c r="R899"/>
  <c r="Q900"/>
  <c r="R900"/>
  <c r="R877"/>
  <c r="Q877" s="1"/>
  <c r="H956" i="3"/>
  <c r="H651"/>
  <c r="H56"/>
  <c r="H127" i="2"/>
  <c r="H106"/>
  <c r="R1454" i="1"/>
  <c r="Q1454" s="1"/>
  <c r="R1455"/>
  <c r="Q1455" s="1"/>
  <c r="R1456"/>
  <c r="Q1456" s="1"/>
  <c r="R1457"/>
  <c r="Q1457" s="1"/>
  <c r="R1458"/>
  <c r="Q1458" s="1"/>
  <c r="R1453"/>
  <c r="Q1453" s="1"/>
  <c r="R1452"/>
  <c r="Q1452" s="1"/>
  <c r="R1441"/>
  <c r="Q1441" s="1"/>
  <c r="R1440"/>
  <c r="Q1440" s="1"/>
  <c r="R1409"/>
  <c r="Q1409" s="1"/>
  <c r="R1410"/>
  <c r="Q1410" s="1"/>
  <c r="R1411"/>
  <c r="Q1411" s="1"/>
  <c r="R1412"/>
  <c r="Q1412" s="1"/>
  <c r="R1413"/>
  <c r="Q1413" s="1"/>
  <c r="R1414"/>
  <c r="Q1414" s="1"/>
  <c r="R1415"/>
  <c r="Q1415" s="1"/>
  <c r="R1416"/>
  <c r="Q1416" s="1"/>
  <c r="R1417"/>
  <c r="Q1417" s="1"/>
  <c r="R1418"/>
  <c r="Q1418" s="1"/>
  <c r="R1419"/>
  <c r="Q1419" s="1"/>
  <c r="R1420"/>
  <c r="Q1420" s="1"/>
  <c r="R1421"/>
  <c r="Q1421" s="1"/>
  <c r="R1422"/>
  <c r="Q1422" s="1"/>
  <c r="R1423"/>
  <c r="Q1423" s="1"/>
  <c r="R1424"/>
  <c r="Q1424" s="1"/>
  <c r="R1425"/>
  <c r="Q1425" s="1"/>
  <c r="R1426"/>
  <c r="Q1426" s="1"/>
  <c r="R1427"/>
  <c r="Q1427" s="1"/>
  <c r="R1428"/>
  <c r="Q1428" s="1"/>
  <c r="R1408"/>
  <c r="Q1408" s="1"/>
  <c r="R1381"/>
  <c r="Q1381" s="1"/>
  <c r="R1382"/>
  <c r="Q1382" s="1"/>
  <c r="R1383"/>
  <c r="Q1383" s="1"/>
  <c r="R1384"/>
  <c r="Q1384" s="1"/>
  <c r="R1385"/>
  <c r="Q1385" s="1"/>
  <c r="R1386"/>
  <c r="Q1386" s="1"/>
  <c r="R1387"/>
  <c r="Q1387" s="1"/>
  <c r="R1388"/>
  <c r="Q1388" s="1"/>
  <c r="R1389"/>
  <c r="Q1389" s="1"/>
  <c r="R1390"/>
  <c r="Q1390" s="1"/>
  <c r="R1391"/>
  <c r="Q1391" s="1"/>
  <c r="R1392"/>
  <c r="Q1392" s="1"/>
  <c r="R1393"/>
  <c r="Q1393" s="1"/>
  <c r="R1394"/>
  <c r="Q1394" s="1"/>
  <c r="R1395"/>
  <c r="Q1395" s="1"/>
  <c r="R1396"/>
  <c r="Q1396" s="1"/>
  <c r="R1397"/>
  <c r="Q1397" s="1"/>
  <c r="R1398"/>
  <c r="Q1398" s="1"/>
  <c r="R1399"/>
  <c r="Q1399" s="1"/>
  <c r="R1380"/>
  <c r="Q1380" s="1"/>
  <c r="R1364"/>
  <c r="Q1364" s="1"/>
  <c r="R1365"/>
  <c r="Q1365" s="1"/>
  <c r="R1366"/>
  <c r="Q1366" s="1"/>
  <c r="R1367"/>
  <c r="Q1367" s="1"/>
  <c r="R1368"/>
  <c r="Q1368" s="1"/>
  <c r="R1369"/>
  <c r="Q1369" s="1"/>
  <c r="R1370"/>
  <c r="Q1370" s="1"/>
  <c r="R1371"/>
  <c r="Q1371" s="1"/>
  <c r="R1363"/>
  <c r="Q1363" s="1"/>
  <c r="R1328"/>
  <c r="Q1328" s="1"/>
  <c r="R1329"/>
  <c r="Q1329" s="1"/>
  <c r="R1330"/>
  <c r="Q1330" s="1"/>
  <c r="R1331"/>
  <c r="Q1331" s="1"/>
  <c r="R1332"/>
  <c r="Q1332" s="1"/>
  <c r="R1333"/>
  <c r="Q1333" s="1"/>
  <c r="R1334"/>
  <c r="Q1334" s="1"/>
  <c r="R1335"/>
  <c r="Q1335" s="1"/>
  <c r="R1336"/>
  <c r="Q1336" s="1"/>
  <c r="R1337"/>
  <c r="Q1337" s="1"/>
  <c r="R1338"/>
  <c r="Q1338" s="1"/>
  <c r="R1339"/>
  <c r="Q1339" s="1"/>
  <c r="R1340"/>
  <c r="Q1340" s="1"/>
  <c r="R1341"/>
  <c r="Q1341" s="1"/>
  <c r="R1342"/>
  <c r="Q1342" s="1"/>
  <c r="R1343"/>
  <c r="Q1343" s="1"/>
  <c r="R1344"/>
  <c r="Q1344" s="1"/>
  <c r="R1345"/>
  <c r="Q1345" s="1"/>
  <c r="R1346"/>
  <c r="Q1346" s="1"/>
  <c r="R1347"/>
  <c r="Q1347" s="1"/>
  <c r="R1348"/>
  <c r="Q1348" s="1"/>
  <c r="R1349"/>
  <c r="Q1349" s="1"/>
  <c r="R1350"/>
  <c r="Q1350" s="1"/>
  <c r="R1351"/>
  <c r="Q1351" s="1"/>
  <c r="R1352"/>
  <c r="Q1352" s="1"/>
  <c r="R1353"/>
  <c r="Q1353" s="1"/>
  <c r="R1327"/>
  <c r="Q1327" s="1"/>
  <c r="R1304"/>
  <c r="Q1304" s="1"/>
  <c r="R1305"/>
  <c r="Q1305" s="1"/>
  <c r="R1306"/>
  <c r="Q1306" s="1"/>
  <c r="R1307"/>
  <c r="Q1307" s="1"/>
  <c r="R1308"/>
  <c r="Q1308" s="1"/>
  <c r="R1309"/>
  <c r="Q1309" s="1"/>
  <c r="R1310"/>
  <c r="Q1310" s="1"/>
  <c r="R1311"/>
  <c r="Q1311" s="1"/>
  <c r="R1312"/>
  <c r="Q1312" s="1"/>
  <c r="R1313"/>
  <c r="Q1313" s="1"/>
  <c r="R1314"/>
  <c r="Q1314" s="1"/>
  <c r="R1315"/>
  <c r="Q1315" s="1"/>
  <c r="R1316"/>
  <c r="Q1316" s="1"/>
  <c r="R1303"/>
  <c r="Q1303" s="1"/>
  <c r="R1283"/>
  <c r="Q1283" s="1"/>
  <c r="R1284"/>
  <c r="Q1284" s="1"/>
  <c r="R1285"/>
  <c r="Q1285" s="1"/>
  <c r="R1286"/>
  <c r="Q1286" s="1"/>
  <c r="R1287"/>
  <c r="Q1287" s="1"/>
  <c r="R1288"/>
  <c r="Q1288" s="1"/>
  <c r="R1289"/>
  <c r="Q1289" s="1"/>
  <c r="R1290"/>
  <c r="Q1290" s="1"/>
  <c r="R1291"/>
  <c r="Q1291" s="1"/>
  <c r="R1292"/>
  <c r="Q1292" s="1"/>
  <c r="R1293"/>
  <c r="Q1293" s="1"/>
  <c r="R1282"/>
  <c r="Q1282" s="1"/>
  <c r="R1261"/>
  <c r="Q1261" s="1"/>
  <c r="R1262"/>
  <c r="Q1262" s="1"/>
  <c r="R1263"/>
  <c r="Q1263" s="1"/>
  <c r="R1264"/>
  <c r="Q1264" s="1"/>
  <c r="R1265"/>
  <c r="Q1265" s="1"/>
  <c r="R1266"/>
  <c r="Q1266" s="1"/>
  <c r="R1267"/>
  <c r="Q1267" s="1"/>
  <c r="R1268"/>
  <c r="Q1268" s="1"/>
  <c r="R1269"/>
  <c r="Q1269" s="1"/>
  <c r="R1270"/>
  <c r="Q1270" s="1"/>
  <c r="R1271"/>
  <c r="Q1271" s="1"/>
  <c r="R1260"/>
  <c r="Q1260" s="1"/>
  <c r="R1223"/>
  <c r="Q1223" s="1"/>
  <c r="R1224"/>
  <c r="Q1224" s="1"/>
  <c r="R1225"/>
  <c r="Q1225" s="1"/>
  <c r="R1226"/>
  <c r="Q1226" s="1"/>
  <c r="R1227"/>
  <c r="Q1227" s="1"/>
  <c r="R1228"/>
  <c r="Q1228" s="1"/>
  <c r="R1229"/>
  <c r="Q1229" s="1"/>
  <c r="R1230"/>
  <c r="Q1230" s="1"/>
  <c r="R1231"/>
  <c r="Q1231" s="1"/>
  <c r="R1232"/>
  <c r="Q1232" s="1"/>
  <c r="R1233"/>
  <c r="Q1233" s="1"/>
  <c r="R1234"/>
  <c r="Q1234" s="1"/>
  <c r="R1235"/>
  <c r="Q1235" s="1"/>
  <c r="R1236"/>
  <c r="Q1236" s="1"/>
  <c r="R1237"/>
  <c r="Q1237" s="1"/>
  <c r="R1238"/>
  <c r="Q1238" s="1"/>
  <c r="R1239"/>
  <c r="Q1239" s="1"/>
  <c r="R1240"/>
  <c r="Q1240" s="1"/>
  <c r="R1241"/>
  <c r="Q1241" s="1"/>
  <c r="R1242"/>
  <c r="Q1242" s="1"/>
  <c r="R1243"/>
  <c r="Q1243" s="1"/>
  <c r="R1244"/>
  <c r="Q1244" s="1"/>
  <c r="R1245"/>
  <c r="Q1245" s="1"/>
  <c r="R1246"/>
  <c r="Q1246" s="1"/>
  <c r="R1247"/>
  <c r="Q1247" s="1"/>
  <c r="R1248"/>
  <c r="Q1248" s="1"/>
  <c r="R1249"/>
  <c r="Q1249" s="1"/>
  <c r="R1250"/>
  <c r="Q1250" s="1"/>
  <c r="R1251"/>
  <c r="Q1251" s="1"/>
  <c r="R1252"/>
  <c r="Q1252" s="1"/>
  <c r="R1222"/>
  <c r="Q1222" s="1"/>
  <c r="R1196"/>
  <c r="Q1196" s="1"/>
  <c r="R1197"/>
  <c r="Q1197" s="1"/>
  <c r="R1198"/>
  <c r="Q1198" s="1"/>
  <c r="R1199"/>
  <c r="Q1199" s="1"/>
  <c r="R1200"/>
  <c r="Q1200" s="1"/>
  <c r="R1201"/>
  <c r="Q1201" s="1"/>
  <c r="R1202"/>
  <c r="Q1202" s="1"/>
  <c r="R1203"/>
  <c r="Q1203" s="1"/>
  <c r="R1204"/>
  <c r="Q1204" s="1"/>
  <c r="R1205"/>
  <c r="Q1205" s="1"/>
  <c r="R1206"/>
  <c r="Q1206" s="1"/>
  <c r="R1207"/>
  <c r="Q1207" s="1"/>
  <c r="R1195"/>
  <c r="Q1195"/>
  <c r="R1183"/>
  <c r="Q1183" s="1"/>
  <c r="R1182"/>
  <c r="Q1182" s="1"/>
  <c r="R1181"/>
  <c r="Q1181" s="1"/>
  <c r="R1180"/>
  <c r="Q1180" s="1"/>
  <c r="R1179"/>
  <c r="Q1179" s="1"/>
  <c r="R1178"/>
  <c r="Q1178" s="1"/>
  <c r="R1177"/>
  <c r="Q1177" s="1"/>
  <c r="R1176"/>
  <c r="Q1176" s="1"/>
  <c r="R1175"/>
  <c r="Q1175" s="1"/>
  <c r="R1174"/>
  <c r="Q1174" s="1"/>
  <c r="R1173"/>
  <c r="Q1173" s="1"/>
  <c r="R1172"/>
  <c r="Q1172" s="1"/>
  <c r="R1171"/>
  <c r="Q1171" s="1"/>
  <c r="R1167"/>
  <c r="Q1167" s="1"/>
  <c r="R1168"/>
  <c r="Q1168" s="1"/>
  <c r="R1169"/>
  <c r="Q1169" s="1"/>
  <c r="R1170"/>
  <c r="Q1170" s="1"/>
  <c r="R1165"/>
  <c r="Q1165" s="1"/>
  <c r="Q1166"/>
  <c r="R1166"/>
  <c r="R1164"/>
  <c r="Q1164" s="1"/>
  <c r="R1140"/>
  <c r="Q1140" s="1"/>
  <c r="R1141"/>
  <c r="Q1141" s="1"/>
  <c r="R1142"/>
  <c r="Q1142" s="1"/>
  <c r="R1143"/>
  <c r="Q1143" s="1"/>
  <c r="R1144"/>
  <c r="Q1144" s="1"/>
  <c r="R1145"/>
  <c r="Q1145" s="1"/>
  <c r="R1146"/>
  <c r="Q1146" s="1"/>
  <c r="R1147"/>
  <c r="Q1147" s="1"/>
  <c r="R1148"/>
  <c r="Q1148" s="1"/>
  <c r="R1149"/>
  <c r="Q1149" s="1"/>
  <c r="R1150"/>
  <c r="Q1150" s="1"/>
  <c r="R1151"/>
  <c r="Q1151" s="1"/>
  <c r="R1152"/>
  <c r="Q1152" s="1"/>
  <c r="R1153"/>
  <c r="Q1153" s="1"/>
  <c r="R1154"/>
  <c r="Q1154" s="1"/>
  <c r="R1133"/>
  <c r="Q1133" s="1"/>
  <c r="R1134"/>
  <c r="Q1134" s="1"/>
  <c r="R1135"/>
  <c r="Q1135" s="1"/>
  <c r="R1136"/>
  <c r="Q1136" s="1"/>
  <c r="R1137"/>
  <c r="Q1137" s="1"/>
  <c r="R1138"/>
  <c r="Q1138" s="1"/>
  <c r="R1139"/>
  <c r="Q1139" s="1"/>
  <c r="R1132"/>
  <c r="Q1132" s="1"/>
  <c r="R1065"/>
  <c r="Q1065" s="1"/>
  <c r="R1066"/>
  <c r="Q1066" s="1"/>
  <c r="R1067"/>
  <c r="Q1067" s="1"/>
  <c r="R1068"/>
  <c r="Q1068" s="1"/>
  <c r="R1069"/>
  <c r="Q1069" s="1"/>
  <c r="R1070"/>
  <c r="Q1070" s="1"/>
  <c r="R1071"/>
  <c r="Q1071" s="1"/>
  <c r="R1072"/>
  <c r="Q1072" s="1"/>
  <c r="R1073"/>
  <c r="Q1073" s="1"/>
  <c r="R1074"/>
  <c r="Q1074" s="1"/>
  <c r="R1075"/>
  <c r="Q1075" s="1"/>
  <c r="R1076"/>
  <c r="Q1076" s="1"/>
  <c r="R1077"/>
  <c r="Q1077" s="1"/>
  <c r="R1078"/>
  <c r="Q1078" s="1"/>
  <c r="R1079"/>
  <c r="Q1079" s="1"/>
  <c r="R1080"/>
  <c r="Q1080" s="1"/>
  <c r="R1081"/>
  <c r="Q1081" s="1"/>
  <c r="R1082"/>
  <c r="Q1082" s="1"/>
  <c r="R1083"/>
  <c r="Q1083" s="1"/>
  <c r="R1084"/>
  <c r="Q1084" s="1"/>
  <c r="R1085"/>
  <c r="Q1085" s="1"/>
  <c r="R1086"/>
  <c r="Q1086" s="1"/>
  <c r="R1087"/>
  <c r="Q1087" s="1"/>
  <c r="R1088"/>
  <c r="Q1088" s="1"/>
  <c r="R1089"/>
  <c r="Q1089" s="1"/>
  <c r="R1090"/>
  <c r="Q1090" s="1"/>
  <c r="R1091"/>
  <c r="Q1091" s="1"/>
  <c r="R1092"/>
  <c r="Q1092" s="1"/>
  <c r="R1093"/>
  <c r="Q1093" s="1"/>
  <c r="R1094"/>
  <c r="Q1094" s="1"/>
  <c r="R1095"/>
  <c r="Q1095" s="1"/>
  <c r="R1096"/>
  <c r="Q1096" s="1"/>
  <c r="R1097"/>
  <c r="Q1097" s="1"/>
  <c r="R1098"/>
  <c r="Q1098" s="1"/>
  <c r="R1099"/>
  <c r="Q1099" s="1"/>
  <c r="R1100"/>
  <c r="Q1100" s="1"/>
  <c r="R1101"/>
  <c r="Q1101" s="1"/>
  <c r="R1102"/>
  <c r="Q1102" s="1"/>
  <c r="R1103"/>
  <c r="Q1103" s="1"/>
  <c r="R1104"/>
  <c r="Q1104" s="1"/>
  <c r="R1105"/>
  <c r="Q1105" s="1"/>
  <c r="R1106"/>
  <c r="Q1106" s="1"/>
  <c r="R1107"/>
  <c r="Q1107" s="1"/>
  <c r="R1108"/>
  <c r="Q1108" s="1"/>
  <c r="R1109"/>
  <c r="Q1109" s="1"/>
  <c r="R1110"/>
  <c r="Q1110" s="1"/>
  <c r="R1111"/>
  <c r="Q1111" s="1"/>
  <c r="R1112"/>
  <c r="Q1112" s="1"/>
  <c r="R1113"/>
  <c r="Q1113" s="1"/>
  <c r="R1114"/>
  <c r="Q1114" s="1"/>
  <c r="R1115"/>
  <c r="Q1115" s="1"/>
  <c r="R1116"/>
  <c r="Q1116" s="1"/>
  <c r="R1117"/>
  <c r="Q1117" s="1"/>
  <c r="R1118"/>
  <c r="Q1118" s="1"/>
  <c r="R1119"/>
  <c r="Q1119" s="1"/>
  <c r="R1120"/>
  <c r="Q1120" s="1"/>
  <c r="R1121"/>
  <c r="Q1121" s="1"/>
  <c r="R1122"/>
  <c r="Q1122" s="1"/>
  <c r="R1123"/>
  <c r="Q1123" s="1"/>
  <c r="R1124"/>
  <c r="Q1124" s="1"/>
  <c r="R1125"/>
  <c r="Q1125" s="1"/>
  <c r="R1064"/>
  <c r="Q1064" s="1"/>
  <c r="R1033"/>
  <c r="Q1033" s="1"/>
  <c r="R1034"/>
  <c r="Q1034" s="1"/>
  <c r="R1035"/>
  <c r="Q1035" s="1"/>
  <c r="R1036"/>
  <c r="Q1036" s="1"/>
  <c r="R1037"/>
  <c r="Q1037" s="1"/>
  <c r="R1038"/>
  <c r="Q1038" s="1"/>
  <c r="R1039"/>
  <c r="Q1039" s="1"/>
  <c r="R1040"/>
  <c r="Q1040" s="1"/>
  <c r="R1041"/>
  <c r="Q1041" s="1"/>
  <c r="R1042"/>
  <c r="Q1042" s="1"/>
  <c r="R1043"/>
  <c r="Q1043" s="1"/>
  <c r="R1044"/>
  <c r="Q1044" s="1"/>
  <c r="R1045"/>
  <c r="Q1045" s="1"/>
  <c r="R1046"/>
  <c r="Q1046" s="1"/>
  <c r="R1047"/>
  <c r="Q1047" s="1"/>
  <c r="R1048"/>
  <c r="Q1048" s="1"/>
  <c r="R1049"/>
  <c r="Q1049" s="1"/>
  <c r="R1050"/>
  <c r="Q1050" s="1"/>
  <c r="R1051"/>
  <c r="Q1051" s="1"/>
  <c r="R1052"/>
  <c r="Q1052" s="1"/>
  <c r="R1053"/>
  <c r="Q1053" s="1"/>
  <c r="R1054"/>
  <c r="Q1054" s="1"/>
  <c r="R1055"/>
  <c r="Q1055" s="1"/>
  <c r="R1032"/>
  <c r="Q1032" s="1"/>
  <c r="R1018"/>
  <c r="Q1018" s="1"/>
  <c r="R1019"/>
  <c r="Q1019" s="1"/>
  <c r="R1020"/>
  <c r="Q1020" s="1"/>
  <c r="R1021"/>
  <c r="Q1021" s="1"/>
  <c r="R1017"/>
  <c r="Q1017" s="1"/>
  <c r="R1007"/>
  <c r="Q1007" s="1"/>
  <c r="R1006"/>
  <c r="Q1006" s="1"/>
  <c r="R990"/>
  <c r="Q990" s="1"/>
  <c r="R991"/>
  <c r="Q991" s="1"/>
  <c r="R992"/>
  <c r="Q992" s="1"/>
  <c r="R993"/>
  <c r="Q993" s="1"/>
  <c r="R994"/>
  <c r="Q994" s="1"/>
  <c r="R995"/>
  <c r="Q995" s="1"/>
  <c r="R996"/>
  <c r="Q996" s="1"/>
  <c r="R997"/>
  <c r="Q997" s="1"/>
  <c r="R998"/>
  <c r="Q998" s="1"/>
  <c r="R989"/>
  <c r="Q989" s="1"/>
  <c r="R956"/>
  <c r="Q956" s="1"/>
  <c r="R957"/>
  <c r="Q957" s="1"/>
  <c r="R958"/>
  <c r="Q958" s="1"/>
  <c r="R959"/>
  <c r="Q959" s="1"/>
  <c r="R960"/>
  <c r="Q960" s="1"/>
  <c r="R961"/>
  <c r="Q961" s="1"/>
  <c r="R962"/>
  <c r="Q962" s="1"/>
  <c r="R963"/>
  <c r="Q963" s="1"/>
  <c r="R964"/>
  <c r="Q964" s="1"/>
  <c r="R965"/>
  <c r="Q965" s="1"/>
  <c r="R966"/>
  <c r="Q966" s="1"/>
  <c r="R967"/>
  <c r="Q967" s="1"/>
  <c r="R968"/>
  <c r="Q968" s="1"/>
  <c r="R969"/>
  <c r="Q969" s="1"/>
  <c r="R970"/>
  <c r="Q970" s="1"/>
  <c r="R971"/>
  <c r="Q971" s="1"/>
  <c r="R972"/>
  <c r="Q972" s="1"/>
  <c r="R973"/>
  <c r="Q973" s="1"/>
  <c r="R974"/>
  <c r="Q974" s="1"/>
  <c r="R975"/>
  <c r="Q975" s="1"/>
  <c r="R976"/>
  <c r="Q976" s="1"/>
  <c r="R977"/>
  <c r="Q977" s="1"/>
  <c r="R978"/>
  <c r="Q978" s="1"/>
  <c r="R979"/>
  <c r="Q979" s="1"/>
  <c r="R980"/>
  <c r="Q980" s="1"/>
  <c r="R981"/>
  <c r="Q981" s="1"/>
  <c r="R955"/>
  <c r="Q955" s="1"/>
  <c r="R934"/>
  <c r="Q934" s="1"/>
  <c r="R935"/>
  <c r="Q935" s="1"/>
  <c r="R936"/>
  <c r="Q936" s="1"/>
  <c r="R937"/>
  <c r="Q937" s="1"/>
  <c r="R938"/>
  <c r="Q938" s="1"/>
  <c r="R939"/>
  <c r="Q939" s="1"/>
  <c r="R940"/>
  <c r="Q940" s="1"/>
  <c r="R941"/>
  <c r="Q941" s="1"/>
  <c r="R942"/>
  <c r="Q942" s="1"/>
  <c r="R943"/>
  <c r="Q943" s="1"/>
  <c r="R944"/>
  <c r="Q944" s="1"/>
  <c r="R945"/>
  <c r="Q945" s="1"/>
  <c r="R946"/>
  <c r="Q946" s="1"/>
  <c r="R933"/>
  <c r="Q933" s="1"/>
  <c r="R916"/>
  <c r="Q916" s="1"/>
  <c r="R917"/>
  <c r="Q917" s="1"/>
  <c r="R918"/>
  <c r="Q918" s="1"/>
  <c r="R919"/>
  <c r="Q919" s="1"/>
  <c r="R920"/>
  <c r="Q920" s="1"/>
  <c r="R921"/>
  <c r="Q921" s="1"/>
  <c r="R922"/>
  <c r="Q922" s="1"/>
  <c r="R923"/>
  <c r="Q923" s="1"/>
  <c r="R924"/>
  <c r="Q924" s="1"/>
  <c r="R909"/>
  <c r="Q909" s="1"/>
  <c r="R910"/>
  <c r="Q910" s="1"/>
  <c r="R911"/>
  <c r="Q911" s="1"/>
  <c r="R912"/>
  <c r="Q912" s="1"/>
  <c r="R913"/>
  <c r="Q913" s="1"/>
  <c r="R914"/>
  <c r="Q914" s="1"/>
  <c r="R915"/>
  <c r="Q915" s="1"/>
  <c r="R908"/>
  <c r="Q908" s="1"/>
  <c r="H1409" i="3"/>
  <c r="H1410"/>
  <c r="H1411"/>
  <c r="H1412"/>
  <c r="H1394"/>
  <c r="H1395"/>
  <c r="H1396"/>
  <c r="H1397"/>
  <c r="H1398"/>
  <c r="H1399"/>
  <c r="H1400"/>
  <c r="H1401"/>
  <c r="H1402"/>
  <c r="H1329"/>
  <c r="H1330"/>
  <c r="H1331"/>
  <c r="H1332"/>
  <c r="H1333"/>
  <c r="H1334"/>
  <c r="H1335"/>
  <c r="H1336"/>
  <c r="H1337"/>
  <c r="H1338"/>
  <c r="H1339"/>
  <c r="H1340"/>
  <c r="H1341"/>
  <c r="H1342"/>
  <c r="H1343"/>
  <c r="H1344"/>
  <c r="H1345"/>
  <c r="H1346"/>
  <c r="H1347"/>
  <c r="H1348"/>
  <c r="H1349"/>
  <c r="H1350"/>
  <c r="H1351"/>
  <c r="H1352"/>
  <c r="H1353"/>
  <c r="H1354"/>
  <c r="H1355"/>
  <c r="H1356"/>
  <c r="H1357"/>
  <c r="H1358"/>
  <c r="H1359"/>
  <c r="H1360"/>
  <c r="H1361"/>
  <c r="H1362"/>
  <c r="H1363"/>
  <c r="H1364"/>
  <c r="H1365"/>
  <c r="H1366"/>
  <c r="H1367"/>
  <c r="H1368"/>
  <c r="H1369"/>
  <c r="H1370"/>
  <c r="H1371"/>
  <c r="H1372"/>
  <c r="H1373"/>
  <c r="H1374"/>
  <c r="H1375"/>
  <c r="H1376"/>
  <c r="H1377"/>
  <c r="H1378"/>
  <c r="H1379"/>
  <c r="H1380"/>
  <c r="H1381"/>
  <c r="H1382"/>
  <c r="H1383"/>
  <c r="H1384"/>
  <c r="H1385"/>
  <c r="H1386"/>
  <c r="H1387"/>
  <c r="H1388"/>
  <c r="H1306"/>
  <c r="H1307"/>
  <c r="H1308"/>
  <c r="H1309"/>
  <c r="H1310"/>
  <c r="H1311"/>
  <c r="H1312"/>
  <c r="H1313"/>
  <c r="H1314"/>
  <c r="H1315"/>
  <c r="H1316"/>
  <c r="H1317"/>
  <c r="H1318"/>
  <c r="H1264"/>
  <c r="H1265"/>
  <c r="H1266"/>
  <c r="H1267"/>
  <c r="H1268"/>
  <c r="H1269"/>
  <c r="H1270"/>
  <c r="H1271"/>
  <c r="H1272"/>
  <c r="H1273"/>
  <c r="H1274"/>
  <c r="H1275"/>
  <c r="H1276"/>
  <c r="H1277"/>
  <c r="H1278"/>
  <c r="H1279"/>
  <c r="H1280"/>
  <c r="H1281"/>
  <c r="H1282"/>
  <c r="H1283"/>
  <c r="H1284"/>
  <c r="H1285"/>
  <c r="H1286"/>
  <c r="H1287"/>
  <c r="H1288"/>
  <c r="H1289"/>
  <c r="H1290"/>
  <c r="H1291"/>
  <c r="H1292"/>
  <c r="H1293"/>
  <c r="H1294"/>
  <c r="H1295"/>
  <c r="H1296"/>
  <c r="H1297"/>
  <c r="H1298"/>
  <c r="H1124"/>
  <c r="H1125"/>
  <c r="H1126"/>
  <c r="H1127"/>
  <c r="H1128"/>
  <c r="H1129"/>
  <c r="H1130"/>
  <c r="H1131"/>
  <c r="H1132"/>
  <c r="H1133"/>
  <c r="H1134"/>
  <c r="H1135"/>
  <c r="H1136"/>
  <c r="H1137"/>
  <c r="H1138"/>
  <c r="H1139"/>
  <c r="H1140"/>
  <c r="H1141"/>
  <c r="H1142"/>
  <c r="H1143"/>
  <c r="H1144"/>
  <c r="H1145"/>
  <c r="H1146"/>
  <c r="H1147"/>
  <c r="H1148"/>
  <c r="H1149"/>
  <c r="H1150"/>
  <c r="H1151"/>
  <c r="H1152"/>
  <c r="H1153"/>
  <c r="H1154"/>
  <c r="H1155"/>
  <c r="H1156"/>
  <c r="H1157"/>
  <c r="H1158"/>
  <c r="H1159"/>
  <c r="H1160"/>
  <c r="H1161"/>
  <c r="H1162"/>
  <c r="H1163"/>
  <c r="H1164"/>
  <c r="H1165"/>
  <c r="H1166"/>
  <c r="H1167"/>
  <c r="H1168"/>
  <c r="H1169"/>
  <c r="H1170"/>
  <c r="H1171"/>
  <c r="H1172"/>
  <c r="H1173"/>
  <c r="H1174"/>
  <c r="H1175"/>
  <c r="H1176"/>
  <c r="H1177"/>
  <c r="H1178"/>
  <c r="H1179"/>
  <c r="H1180"/>
  <c r="H1181"/>
  <c r="H1182"/>
  <c r="H1183"/>
  <c r="H1184"/>
  <c r="H1185"/>
  <c r="H1186"/>
  <c r="H1187"/>
  <c r="H1188"/>
  <c r="H1189"/>
  <c r="H1190"/>
  <c r="H1191"/>
  <c r="H1192"/>
  <c r="H1193"/>
  <c r="H1194"/>
  <c r="H1195"/>
  <c r="H1196"/>
  <c r="H1197"/>
  <c r="H1198"/>
  <c r="H1199"/>
  <c r="H1200"/>
  <c r="H1201"/>
  <c r="H1202"/>
  <c r="H1203"/>
  <c r="H1204"/>
  <c r="H1205"/>
  <c r="H1206"/>
  <c r="H1207"/>
  <c r="H1208"/>
  <c r="H1209"/>
  <c r="H1210"/>
  <c r="H1211"/>
  <c r="H1212"/>
  <c r="H1213"/>
  <c r="H1214"/>
  <c r="H1215"/>
  <c r="H1216"/>
  <c r="H1217"/>
  <c r="H1218"/>
  <c r="H1219"/>
  <c r="H1220"/>
  <c r="H1221"/>
  <c r="H1222"/>
  <c r="H1223"/>
  <c r="H1224"/>
  <c r="H1225"/>
  <c r="H1226"/>
  <c r="H1227"/>
  <c r="H1228"/>
  <c r="H1229"/>
  <c r="H1230"/>
  <c r="H1231"/>
  <c r="H1232"/>
  <c r="H1233"/>
  <c r="H1234"/>
  <c r="H1235"/>
  <c r="H1236"/>
  <c r="H1237"/>
  <c r="H1238"/>
  <c r="H1239"/>
  <c r="H1240"/>
  <c r="H1241"/>
  <c r="H1242"/>
  <c r="H1243"/>
  <c r="H1244"/>
  <c r="H1245"/>
  <c r="H1246"/>
  <c r="H1247"/>
  <c r="H1248"/>
  <c r="H1249"/>
  <c r="H1250"/>
  <c r="H1251"/>
  <c r="H1252"/>
  <c r="H1253"/>
  <c r="H1254"/>
  <c r="H1255"/>
  <c r="H1110"/>
  <c r="H1111"/>
  <c r="H1112"/>
  <c r="H1113"/>
  <c r="H1114"/>
  <c r="H1115"/>
  <c r="H1029"/>
  <c r="H1030"/>
  <c r="H1031"/>
  <c r="H1032"/>
  <c r="H1033"/>
  <c r="H1034"/>
  <c r="H1035"/>
  <c r="H1036"/>
  <c r="H1037"/>
  <c r="H1038"/>
  <c r="H1039"/>
  <c r="H1040"/>
  <c r="H1041"/>
  <c r="H1042"/>
  <c r="H1043"/>
  <c r="H1044"/>
  <c r="H1045"/>
  <c r="H1046"/>
  <c r="H1047"/>
  <c r="H1048"/>
  <c r="H1049"/>
  <c r="H1050"/>
  <c r="H1051"/>
  <c r="H1052"/>
  <c r="H1053"/>
  <c r="H1054"/>
  <c r="H1055"/>
  <c r="H1056"/>
  <c r="H1057"/>
  <c r="H1058"/>
  <c r="H1059"/>
  <c r="H1060"/>
  <c r="H1061"/>
  <c r="H1062"/>
  <c r="H1063"/>
  <c r="H1064"/>
  <c r="H1065"/>
  <c r="H1066"/>
  <c r="H1067"/>
  <c r="H1068"/>
  <c r="H1069"/>
  <c r="H1070"/>
  <c r="H1071"/>
  <c r="H1072"/>
  <c r="H1073"/>
  <c r="H1074"/>
  <c r="H1075"/>
  <c r="H1076"/>
  <c r="H1077"/>
  <c r="H1078"/>
  <c r="H1079"/>
  <c r="H1080"/>
  <c r="H1081"/>
  <c r="H1082"/>
  <c r="H1083"/>
  <c r="H1084"/>
  <c r="H1085"/>
  <c r="H1086"/>
  <c r="H1087"/>
  <c r="H1088"/>
  <c r="H1089"/>
  <c r="H1090"/>
  <c r="H1091"/>
  <c r="H1092"/>
  <c r="H1093"/>
  <c r="H1094"/>
  <c r="H1095"/>
  <c r="H1096"/>
  <c r="H1097"/>
  <c r="H1098"/>
  <c r="H1099"/>
  <c r="H1100"/>
  <c r="H1101"/>
  <c r="H1102"/>
  <c r="H1103"/>
  <c r="H981"/>
  <c r="H982"/>
  <c r="H983"/>
  <c r="H984"/>
  <c r="H985"/>
  <c r="H986"/>
  <c r="H987"/>
  <c r="H988"/>
  <c r="H989"/>
  <c r="H990"/>
  <c r="H991"/>
  <c r="H992"/>
  <c r="H993"/>
  <c r="H994"/>
  <c r="H995"/>
  <c r="H996"/>
  <c r="H997"/>
  <c r="H998"/>
  <c r="H999"/>
  <c r="H1000"/>
  <c r="H1001"/>
  <c r="H1002"/>
  <c r="H1003"/>
  <c r="H1004"/>
  <c r="H1005"/>
  <c r="H1006"/>
  <c r="H964"/>
  <c r="H965"/>
  <c r="H966"/>
  <c r="H967"/>
  <c r="H968"/>
  <c r="H969"/>
  <c r="H970"/>
  <c r="H971"/>
  <c r="H972"/>
  <c r="H853"/>
  <c r="H854"/>
  <c r="H855"/>
  <c r="H856"/>
  <c r="H857"/>
  <c r="H858"/>
  <c r="H859"/>
  <c r="H860"/>
  <c r="H861"/>
  <c r="H862"/>
  <c r="H863"/>
  <c r="H864"/>
  <c r="H865"/>
  <c r="H866"/>
  <c r="H867"/>
  <c r="H868"/>
  <c r="H869"/>
  <c r="H870"/>
  <c r="H871"/>
  <c r="H872"/>
  <c r="H873"/>
  <c r="H874"/>
  <c r="H875"/>
  <c r="H876"/>
  <c r="H877"/>
  <c r="H878"/>
  <c r="H879"/>
  <c r="H880"/>
  <c r="H881"/>
  <c r="H882"/>
  <c r="H883"/>
  <c r="H884"/>
  <c r="H885"/>
  <c r="H886"/>
  <c r="H887"/>
  <c r="H888"/>
  <c r="H889"/>
  <c r="H890"/>
  <c r="H891"/>
  <c r="H892"/>
  <c r="H893"/>
  <c r="H894"/>
  <c r="H895"/>
  <c r="H896"/>
  <c r="H897"/>
  <c r="H898"/>
  <c r="H899"/>
  <c r="H900"/>
  <c r="H901"/>
  <c r="H902"/>
  <c r="H903"/>
  <c r="H904"/>
  <c r="H905"/>
  <c r="H906"/>
  <c r="H907"/>
  <c r="H908"/>
  <c r="H909"/>
  <c r="H910"/>
  <c r="H911"/>
  <c r="H912"/>
  <c r="H913"/>
  <c r="H914"/>
  <c r="H915"/>
  <c r="H916"/>
  <c r="H917"/>
  <c r="H918"/>
  <c r="H919"/>
  <c r="H920"/>
  <c r="H921"/>
  <c r="H922"/>
  <c r="H923"/>
  <c r="H924"/>
  <c r="H925"/>
  <c r="H926"/>
  <c r="H927"/>
  <c r="H928"/>
  <c r="H929"/>
  <c r="H930"/>
  <c r="H658"/>
  <c r="H659"/>
  <c r="H660"/>
  <c r="H661"/>
  <c r="H662"/>
  <c r="H663"/>
  <c r="H664"/>
  <c r="H665"/>
  <c r="H666"/>
  <c r="H667"/>
  <c r="H668"/>
  <c r="H669"/>
  <c r="H670"/>
  <c r="H671"/>
  <c r="H672"/>
  <c r="H673"/>
  <c r="H674"/>
  <c r="H675"/>
  <c r="H676"/>
  <c r="H677"/>
  <c r="H678"/>
  <c r="H679"/>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8"/>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0"/>
  <c r="H841"/>
  <c r="H842"/>
  <c r="H843"/>
  <c r="H844"/>
  <c r="H845"/>
  <c r="H492"/>
  <c r="H493"/>
  <c r="H494"/>
  <c r="H495"/>
  <c r="H496"/>
  <c r="H497"/>
  <c r="H498"/>
  <c r="H499"/>
  <c r="H500"/>
  <c r="H501"/>
  <c r="H502"/>
  <c r="H503"/>
  <c r="H504"/>
  <c r="H505"/>
  <c r="H506"/>
  <c r="H507"/>
  <c r="H508"/>
  <c r="H509"/>
  <c r="H510"/>
  <c r="H511"/>
  <c r="H512"/>
  <c r="H513"/>
  <c r="H514"/>
  <c r="H515"/>
  <c r="H516"/>
  <c r="H517"/>
  <c r="H518"/>
  <c r="H519"/>
  <c r="H520"/>
  <c r="H521"/>
  <c r="H522"/>
  <c r="H474"/>
  <c r="H475"/>
  <c r="H476"/>
  <c r="H477"/>
  <c r="H478"/>
  <c r="H479"/>
  <c r="H480"/>
  <c r="H481"/>
  <c r="H482"/>
  <c r="H483"/>
  <c r="H484"/>
  <c r="H419"/>
  <c r="H420"/>
  <c r="H421"/>
  <c r="H422"/>
  <c r="H423"/>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386"/>
  <c r="H387"/>
  <c r="H388"/>
  <c r="H389"/>
  <c r="H390"/>
  <c r="H391"/>
  <c r="H392"/>
  <c r="H393"/>
  <c r="H354"/>
  <c r="H355"/>
  <c r="H356"/>
  <c r="H357"/>
  <c r="H358"/>
  <c r="H359"/>
  <c r="H360"/>
  <c r="H361"/>
  <c r="H362"/>
  <c r="H363"/>
  <c r="H364"/>
  <c r="H365"/>
  <c r="H366"/>
  <c r="H367"/>
  <c r="H368"/>
  <c r="H369"/>
  <c r="H370"/>
  <c r="H371"/>
  <c r="H372"/>
  <c r="H373"/>
  <c r="H374"/>
  <c r="H375"/>
  <c r="H376"/>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53"/>
  <c r="H54"/>
  <c r="H55"/>
  <c r="H30"/>
  <c r="H31"/>
  <c r="H32"/>
  <c r="H33"/>
  <c r="H20"/>
  <c r="H21"/>
  <c r="H22"/>
  <c r="H23"/>
  <c r="H10"/>
  <c r="H11"/>
  <c r="H12"/>
  <c r="H13"/>
  <c r="H1413"/>
  <c r="K1409"/>
  <c r="K1410"/>
  <c r="K1411"/>
  <c r="K1412"/>
  <c r="L1411"/>
  <c r="L1410"/>
  <c r="L1409"/>
  <c r="K1394"/>
  <c r="K1395"/>
  <c r="K1396"/>
  <c r="K1397"/>
  <c r="K1398"/>
  <c r="K1399"/>
  <c r="K1400"/>
  <c r="K1401"/>
  <c r="K1402"/>
  <c r="L1401"/>
  <c r="L1400"/>
  <c r="L1399"/>
  <c r="L1398"/>
  <c r="L1397"/>
  <c r="L1396"/>
  <c r="L1395"/>
  <c r="L1394"/>
  <c r="K1329"/>
  <c r="K1330"/>
  <c r="K1331"/>
  <c r="K1332"/>
  <c r="K1333"/>
  <c r="K1334"/>
  <c r="K1335"/>
  <c r="K1336"/>
  <c r="K1337"/>
  <c r="K1338"/>
  <c r="K1339"/>
  <c r="K1340"/>
  <c r="K1341"/>
  <c r="K1342"/>
  <c r="K1343"/>
  <c r="K1344"/>
  <c r="K1345"/>
  <c r="K1346"/>
  <c r="K1347"/>
  <c r="K1348"/>
  <c r="K1349"/>
  <c r="K1350"/>
  <c r="K1351"/>
  <c r="K1352"/>
  <c r="K1353"/>
  <c r="K1354"/>
  <c r="K1355"/>
  <c r="K1356"/>
  <c r="K1357"/>
  <c r="K1358"/>
  <c r="K1359"/>
  <c r="K1360"/>
  <c r="K1361"/>
  <c r="K1362"/>
  <c r="K1363"/>
  <c r="K1364"/>
  <c r="K1365"/>
  <c r="K1366"/>
  <c r="K1367"/>
  <c r="K1368"/>
  <c r="K1369"/>
  <c r="K1370"/>
  <c r="K1371"/>
  <c r="K1372"/>
  <c r="K1373"/>
  <c r="K1374"/>
  <c r="K1375"/>
  <c r="K1376"/>
  <c r="K1377"/>
  <c r="K1378"/>
  <c r="K1379"/>
  <c r="K1380"/>
  <c r="K1381"/>
  <c r="K1382"/>
  <c r="K1383"/>
  <c r="K1384"/>
  <c r="K1385"/>
  <c r="K1386"/>
  <c r="K1387"/>
  <c r="K1388"/>
  <c r="L1387"/>
  <c r="L1386"/>
  <c r="L1385"/>
  <c r="L1384"/>
  <c r="L1383"/>
  <c r="L1382"/>
  <c r="L1381"/>
  <c r="L1380"/>
  <c r="L1379"/>
  <c r="L1378"/>
  <c r="L1377"/>
  <c r="L1376"/>
  <c r="L1375"/>
  <c r="L1374"/>
  <c r="L1373"/>
  <c r="L1372"/>
  <c r="L1371"/>
  <c r="L1370"/>
  <c r="L1369"/>
  <c r="L1368"/>
  <c r="L1367"/>
  <c r="L1366"/>
  <c r="L1365"/>
  <c r="L1364"/>
  <c r="L1363"/>
  <c r="L1362"/>
  <c r="L1361"/>
  <c r="L1360"/>
  <c r="L1359"/>
  <c r="L1358"/>
  <c r="L1357"/>
  <c r="L1356"/>
  <c r="L1355"/>
  <c r="L1354"/>
  <c r="L1353"/>
  <c r="L1352"/>
  <c r="L1351"/>
  <c r="L1350"/>
  <c r="L1349"/>
  <c r="L1348"/>
  <c r="L1347"/>
  <c r="L1346"/>
  <c r="L1345"/>
  <c r="L1344"/>
  <c r="L1343"/>
  <c r="L1342"/>
  <c r="L1341"/>
  <c r="L1340"/>
  <c r="L1339"/>
  <c r="L1338"/>
  <c r="L1337"/>
  <c r="L1336"/>
  <c r="L1335"/>
  <c r="L1334"/>
  <c r="L1333"/>
  <c r="L1332"/>
  <c r="L1331"/>
  <c r="L1330"/>
  <c r="L1329"/>
  <c r="K1306"/>
  <c r="K1307"/>
  <c r="K1308"/>
  <c r="K1309"/>
  <c r="K1310"/>
  <c r="K1311"/>
  <c r="K1312"/>
  <c r="K1313"/>
  <c r="K1314"/>
  <c r="K1315"/>
  <c r="K1316"/>
  <c r="K1317"/>
  <c r="K1318"/>
  <c r="L1317"/>
  <c r="L1316"/>
  <c r="L1315"/>
  <c r="L1314"/>
  <c r="L1313"/>
  <c r="L1312"/>
  <c r="L1311"/>
  <c r="L1310"/>
  <c r="L1309"/>
  <c r="L1308"/>
  <c r="L1307"/>
  <c r="L1306"/>
  <c r="K1264"/>
  <c r="K1265"/>
  <c r="K1266"/>
  <c r="K1267"/>
  <c r="K1268"/>
  <c r="K1269"/>
  <c r="K1270"/>
  <c r="K1271"/>
  <c r="K1272"/>
  <c r="K1273"/>
  <c r="K1274"/>
  <c r="K1275"/>
  <c r="K1276"/>
  <c r="K1277"/>
  <c r="K1278"/>
  <c r="K1279"/>
  <c r="K1280"/>
  <c r="K1281"/>
  <c r="K1282"/>
  <c r="K1283"/>
  <c r="K1284"/>
  <c r="K1285"/>
  <c r="K1286"/>
  <c r="K1287"/>
  <c r="K1288"/>
  <c r="K1289"/>
  <c r="K1290"/>
  <c r="K1291"/>
  <c r="K1292"/>
  <c r="K1293"/>
  <c r="K1294"/>
  <c r="K1295"/>
  <c r="K1296"/>
  <c r="K1297"/>
  <c r="K1298"/>
  <c r="L1297"/>
  <c r="L1296"/>
  <c r="L1295"/>
  <c r="L1294"/>
  <c r="L1293"/>
  <c r="L1292"/>
  <c r="L1291"/>
  <c r="L1290"/>
  <c r="L1289"/>
  <c r="L1288"/>
  <c r="L1287"/>
  <c r="L1286"/>
  <c r="L1285"/>
  <c r="L1284"/>
  <c r="L1283"/>
  <c r="L1282"/>
  <c r="L1281"/>
  <c r="L1280"/>
  <c r="L1279"/>
  <c r="L1278"/>
  <c r="L1277"/>
  <c r="L1276"/>
  <c r="L1275"/>
  <c r="L1274"/>
  <c r="L1273"/>
  <c r="L1272"/>
  <c r="L1271"/>
  <c r="L1270"/>
  <c r="L1269"/>
  <c r="L1268"/>
  <c r="L1267"/>
  <c r="L1266"/>
  <c r="L1265"/>
  <c r="L1264"/>
  <c r="K1255"/>
  <c r="L1254"/>
  <c r="L1253"/>
  <c r="L1252"/>
  <c r="L1251"/>
  <c r="L1250"/>
  <c r="L1249"/>
  <c r="L1248"/>
  <c r="L1247"/>
  <c r="L1246"/>
  <c r="L1245"/>
  <c r="L1244"/>
  <c r="L1243"/>
  <c r="L1242"/>
  <c r="L1241"/>
  <c r="L1240"/>
  <c r="L1239"/>
  <c r="L1238"/>
  <c r="L1237"/>
  <c r="L1236"/>
  <c r="L1235"/>
  <c r="L1234"/>
  <c r="L1233"/>
  <c r="L1232"/>
  <c r="L1231"/>
  <c r="L1230"/>
  <c r="L1229"/>
  <c r="L1228"/>
  <c r="L1227"/>
  <c r="L1226"/>
  <c r="L1225"/>
  <c r="L1224"/>
  <c r="L1223"/>
  <c r="L1222"/>
  <c r="L1221"/>
  <c r="L1220"/>
  <c r="L1219"/>
  <c r="L1218"/>
  <c r="L1217"/>
  <c r="L1216"/>
  <c r="L1215"/>
  <c r="L1214"/>
  <c r="L1213"/>
  <c r="L1212"/>
  <c r="L1211"/>
  <c r="L1210"/>
  <c r="L1209"/>
  <c r="L1208"/>
  <c r="L1207"/>
  <c r="L1206"/>
  <c r="L1205"/>
  <c r="L1204"/>
  <c r="L1203"/>
  <c r="L1202"/>
  <c r="L1201"/>
  <c r="L1200"/>
  <c r="L1199"/>
  <c r="L1198"/>
  <c r="L1197"/>
  <c r="L1196"/>
  <c r="L1195"/>
  <c r="L1194"/>
  <c r="L1193"/>
  <c r="L1192"/>
  <c r="L1191"/>
  <c r="L1190"/>
  <c r="L1189"/>
  <c r="L1188"/>
  <c r="L1187"/>
  <c r="L1186"/>
  <c r="L1185"/>
  <c r="L1184"/>
  <c r="L1183"/>
  <c r="L1182"/>
  <c r="L1181"/>
  <c r="L1180"/>
  <c r="L1179"/>
  <c r="L1178"/>
  <c r="L1177"/>
  <c r="L1176"/>
  <c r="L1175"/>
  <c r="L1174"/>
  <c r="L1173"/>
  <c r="L1172"/>
  <c r="L1171"/>
  <c r="L1170"/>
  <c r="L1169"/>
  <c r="L1168"/>
  <c r="L1167"/>
  <c r="L1166"/>
  <c r="L1165"/>
  <c r="L1164"/>
  <c r="L1163"/>
  <c r="L1162"/>
  <c r="L1161"/>
  <c r="L1160"/>
  <c r="L1159"/>
  <c r="L1158"/>
  <c r="L1157"/>
  <c r="L1156"/>
  <c r="L1155"/>
  <c r="L1154"/>
  <c r="L1153"/>
  <c r="L1152"/>
  <c r="L1151"/>
  <c r="L1150"/>
  <c r="L1149"/>
  <c r="L1148"/>
  <c r="L1147"/>
  <c r="L1146"/>
  <c r="L1145"/>
  <c r="L1144"/>
  <c r="L1143"/>
  <c r="L1142"/>
  <c r="L1141"/>
  <c r="L1140"/>
  <c r="L1139"/>
  <c r="L1138"/>
  <c r="L1137"/>
  <c r="L1136"/>
  <c r="L1135"/>
  <c r="L1134"/>
  <c r="L1133"/>
  <c r="L1132"/>
  <c r="L1131"/>
  <c r="L1130"/>
  <c r="L1129"/>
  <c r="L1128"/>
  <c r="L1127"/>
  <c r="L1126"/>
  <c r="L1125"/>
  <c r="L1124"/>
  <c r="K1110"/>
  <c r="K1111"/>
  <c r="K1112"/>
  <c r="K1113"/>
  <c r="K1114"/>
  <c r="K1115"/>
  <c r="L1114"/>
  <c r="L1113"/>
  <c r="L1112"/>
  <c r="L1111"/>
  <c r="L1110"/>
  <c r="K1029"/>
  <c r="K1030"/>
  <c r="K1031"/>
  <c r="K1032"/>
  <c r="K1033"/>
  <c r="K1034"/>
  <c r="K1035"/>
  <c r="K1036"/>
  <c r="K1037"/>
  <c r="K1038"/>
  <c r="K1039"/>
  <c r="K1040"/>
  <c r="K1041"/>
  <c r="K1042"/>
  <c r="K1043"/>
  <c r="K1044"/>
  <c r="K1045"/>
  <c r="K1046"/>
  <c r="K1047"/>
  <c r="K1048"/>
  <c r="K1049"/>
  <c r="K1050"/>
  <c r="K1051"/>
  <c r="K1052"/>
  <c r="K1053"/>
  <c r="K1054"/>
  <c r="K1055"/>
  <c r="K1056"/>
  <c r="K1057"/>
  <c r="K1058"/>
  <c r="K1059"/>
  <c r="K1060"/>
  <c r="K1061"/>
  <c r="K1062"/>
  <c r="K1063"/>
  <c r="K1064"/>
  <c r="K1065"/>
  <c r="K1066"/>
  <c r="K1067"/>
  <c r="K1068"/>
  <c r="K1069"/>
  <c r="K1070"/>
  <c r="K1071"/>
  <c r="K1072"/>
  <c r="K1073"/>
  <c r="K1074"/>
  <c r="K1075"/>
  <c r="K1076"/>
  <c r="K1077"/>
  <c r="K1078"/>
  <c r="K1079"/>
  <c r="K1080"/>
  <c r="K1081"/>
  <c r="K1082"/>
  <c r="K1083"/>
  <c r="K1084"/>
  <c r="K1085"/>
  <c r="K1086"/>
  <c r="K1087"/>
  <c r="K1088"/>
  <c r="K1089"/>
  <c r="K1090"/>
  <c r="K1091"/>
  <c r="K1092"/>
  <c r="K1093"/>
  <c r="K1094"/>
  <c r="K1095"/>
  <c r="K1096"/>
  <c r="K1097"/>
  <c r="K1098"/>
  <c r="K1099"/>
  <c r="K1100"/>
  <c r="K1101"/>
  <c r="K1102"/>
  <c r="K1103"/>
  <c r="L1102"/>
  <c r="L1101"/>
  <c r="L1100"/>
  <c r="L1099"/>
  <c r="L1098"/>
  <c r="L1097"/>
  <c r="L1096"/>
  <c r="L1095"/>
  <c r="L1094"/>
  <c r="L1093"/>
  <c r="L1092"/>
  <c r="L1091"/>
  <c r="L1090"/>
  <c r="L1089"/>
  <c r="L1088"/>
  <c r="L1087"/>
  <c r="L1086"/>
  <c r="L1085"/>
  <c r="L1084"/>
  <c r="L1083"/>
  <c r="L1082"/>
  <c r="L1081"/>
  <c r="L1080"/>
  <c r="L1079"/>
  <c r="L1078"/>
  <c r="L1077"/>
  <c r="L1076"/>
  <c r="L1075"/>
  <c r="L1074"/>
  <c r="L1073"/>
  <c r="L1072"/>
  <c r="L1071"/>
  <c r="L1070"/>
  <c r="L1069"/>
  <c r="L1068"/>
  <c r="L1067"/>
  <c r="L1066"/>
  <c r="L1065"/>
  <c r="L1064"/>
  <c r="L1063"/>
  <c r="L1062"/>
  <c r="L1061"/>
  <c r="L1060"/>
  <c r="L1059"/>
  <c r="L1058"/>
  <c r="L1057"/>
  <c r="L1056"/>
  <c r="L1055"/>
  <c r="L1054"/>
  <c r="L1053"/>
  <c r="L1052"/>
  <c r="L1051"/>
  <c r="L1050"/>
  <c r="L1049"/>
  <c r="L1048"/>
  <c r="L1047"/>
  <c r="L1046"/>
  <c r="L1045"/>
  <c r="L1044"/>
  <c r="L1043"/>
  <c r="L1042"/>
  <c r="L1041"/>
  <c r="L1040"/>
  <c r="L1039"/>
  <c r="L1038"/>
  <c r="L1037"/>
  <c r="L1036"/>
  <c r="L1035"/>
  <c r="L1034"/>
  <c r="L1033"/>
  <c r="L1032"/>
  <c r="L1031"/>
  <c r="L1030"/>
  <c r="L1029"/>
  <c r="K1014"/>
  <c r="K1015"/>
  <c r="K1016"/>
  <c r="K1017"/>
  <c r="K1018"/>
  <c r="K1019"/>
  <c r="K1020"/>
  <c r="K1021"/>
  <c r="K1022"/>
  <c r="K981"/>
  <c r="K982"/>
  <c r="K983"/>
  <c r="K984"/>
  <c r="K985"/>
  <c r="K986"/>
  <c r="K987"/>
  <c r="K988"/>
  <c r="K989"/>
  <c r="K990"/>
  <c r="K991"/>
  <c r="K992"/>
  <c r="K993"/>
  <c r="K994"/>
  <c r="K995"/>
  <c r="K996"/>
  <c r="K997"/>
  <c r="K998"/>
  <c r="K999"/>
  <c r="K1000"/>
  <c r="K1001"/>
  <c r="K1002"/>
  <c r="K1003"/>
  <c r="K1004"/>
  <c r="K1005"/>
  <c r="K1006"/>
  <c r="L1005"/>
  <c r="L1004"/>
  <c r="L1003"/>
  <c r="L1002"/>
  <c r="L1001"/>
  <c r="L1000"/>
  <c r="L999"/>
  <c r="L998"/>
  <c r="L997"/>
  <c r="L996"/>
  <c r="L995"/>
  <c r="L994"/>
  <c r="L993"/>
  <c r="L992"/>
  <c r="L991"/>
  <c r="L990"/>
  <c r="L989"/>
  <c r="L988"/>
  <c r="L987"/>
  <c r="L986"/>
  <c r="L985"/>
  <c r="L984"/>
  <c r="L983"/>
  <c r="L982"/>
  <c r="L981"/>
  <c r="K964"/>
  <c r="K965"/>
  <c r="K966"/>
  <c r="K967"/>
  <c r="K968"/>
  <c r="K969"/>
  <c r="K970"/>
  <c r="K971"/>
  <c r="K972"/>
  <c r="L971"/>
  <c r="L970"/>
  <c r="L969"/>
  <c r="L968"/>
  <c r="L967"/>
  <c r="L966"/>
  <c r="L965"/>
  <c r="L964"/>
  <c r="K939"/>
  <c r="K940"/>
  <c r="K941"/>
  <c r="K942"/>
  <c r="K943"/>
  <c r="K944"/>
  <c r="K945"/>
  <c r="K946"/>
  <c r="K947"/>
  <c r="K948"/>
  <c r="K949"/>
  <c r="K950"/>
  <c r="K951"/>
  <c r="K952"/>
  <c r="K953"/>
  <c r="K954"/>
  <c r="K955"/>
  <c r="K956"/>
  <c r="L955"/>
  <c r="H955"/>
  <c r="L954"/>
  <c r="H954"/>
  <c r="L953"/>
  <c r="H953"/>
  <c r="L952"/>
  <c r="H952"/>
  <c r="L951"/>
  <c r="H951"/>
  <c r="L950"/>
  <c r="H950"/>
  <c r="L949"/>
  <c r="H949"/>
  <c r="L948"/>
  <c r="H948"/>
  <c r="L947"/>
  <c r="H947"/>
  <c r="L946"/>
  <c r="H946"/>
  <c r="L945"/>
  <c r="H945"/>
  <c r="L944"/>
  <c r="H944"/>
  <c r="L943"/>
  <c r="H943"/>
  <c r="L942"/>
  <c r="H942"/>
  <c r="L941"/>
  <c r="H941"/>
  <c r="L940"/>
  <c r="H940"/>
  <c r="L939"/>
  <c r="H939"/>
  <c r="K853"/>
  <c r="K854"/>
  <c r="K855"/>
  <c r="K856"/>
  <c r="K857"/>
  <c r="K858"/>
  <c r="K859"/>
  <c r="K860"/>
  <c r="K861"/>
  <c r="K862"/>
  <c r="K863"/>
  <c r="K864"/>
  <c r="K865"/>
  <c r="K866"/>
  <c r="K867"/>
  <c r="K868"/>
  <c r="K869"/>
  <c r="K870"/>
  <c r="K871"/>
  <c r="K872"/>
  <c r="K873"/>
  <c r="K874"/>
  <c r="K875"/>
  <c r="K876"/>
  <c r="K877"/>
  <c r="K878"/>
  <c r="K879"/>
  <c r="K880"/>
  <c r="K881"/>
  <c r="K882"/>
  <c r="K883"/>
  <c r="K884"/>
  <c r="K885"/>
  <c r="K886"/>
  <c r="K887"/>
  <c r="K888"/>
  <c r="K889"/>
  <c r="K890"/>
  <c r="K891"/>
  <c r="K892"/>
  <c r="K893"/>
  <c r="K894"/>
  <c r="K895"/>
  <c r="K896"/>
  <c r="K897"/>
  <c r="K898"/>
  <c r="K899"/>
  <c r="K900"/>
  <c r="K901"/>
  <c r="K902"/>
  <c r="K903"/>
  <c r="K904"/>
  <c r="K905"/>
  <c r="K906"/>
  <c r="K907"/>
  <c r="K908"/>
  <c r="K909"/>
  <c r="K910"/>
  <c r="K911"/>
  <c r="K912"/>
  <c r="K913"/>
  <c r="K914"/>
  <c r="K915"/>
  <c r="K916"/>
  <c r="K917"/>
  <c r="K918"/>
  <c r="K919"/>
  <c r="K920"/>
  <c r="K921"/>
  <c r="K922"/>
  <c r="K923"/>
  <c r="K924"/>
  <c r="K925"/>
  <c r="K926"/>
  <c r="K927"/>
  <c r="K928"/>
  <c r="K929"/>
  <c r="K930"/>
  <c r="L929"/>
  <c r="L928"/>
  <c r="L927"/>
  <c r="L926"/>
  <c r="L925"/>
  <c r="L924"/>
  <c r="L923"/>
  <c r="L922"/>
  <c r="L921"/>
  <c r="L920"/>
  <c r="L919"/>
  <c r="L918"/>
  <c r="L917"/>
  <c r="L916"/>
  <c r="L915"/>
  <c r="L914"/>
  <c r="L913"/>
  <c r="L912"/>
  <c r="L911"/>
  <c r="L910"/>
  <c r="L909"/>
  <c r="L908"/>
  <c r="L907"/>
  <c r="L906"/>
  <c r="L905"/>
  <c r="L904"/>
  <c r="L903"/>
  <c r="L902"/>
  <c r="L901"/>
  <c r="L900"/>
  <c r="L899"/>
  <c r="L898"/>
  <c r="L897"/>
  <c r="L896"/>
  <c r="L895"/>
  <c r="L894"/>
  <c r="L893"/>
  <c r="L892"/>
  <c r="L891"/>
  <c r="L890"/>
  <c r="L889"/>
  <c r="L888"/>
  <c r="L887"/>
  <c r="L886"/>
  <c r="L885"/>
  <c r="L884"/>
  <c r="L883"/>
  <c r="L882"/>
  <c r="L881"/>
  <c r="L880"/>
  <c r="L879"/>
  <c r="L878"/>
  <c r="L877"/>
  <c r="L876"/>
  <c r="L875"/>
  <c r="L874"/>
  <c r="L873"/>
  <c r="L872"/>
  <c r="L871"/>
  <c r="L870"/>
  <c r="L869"/>
  <c r="L868"/>
  <c r="L867"/>
  <c r="L866"/>
  <c r="L865"/>
  <c r="L864"/>
  <c r="L863"/>
  <c r="L862"/>
  <c r="L861"/>
  <c r="L860"/>
  <c r="L859"/>
  <c r="L858"/>
  <c r="L857"/>
  <c r="L856"/>
  <c r="L855"/>
  <c r="L854"/>
  <c r="L853"/>
  <c r="K658"/>
  <c r="K659"/>
  <c r="K660"/>
  <c r="K661"/>
  <c r="K662"/>
  <c r="K663"/>
  <c r="K664"/>
  <c r="K665"/>
  <c r="K666"/>
  <c r="K667"/>
  <c r="K668"/>
  <c r="K669"/>
  <c r="K670"/>
  <c r="K671"/>
  <c r="K672"/>
  <c r="K673"/>
  <c r="K674"/>
  <c r="K675"/>
  <c r="K676"/>
  <c r="K677"/>
  <c r="K678"/>
  <c r="K679"/>
  <c r="K680"/>
  <c r="K681"/>
  <c r="K682"/>
  <c r="K683"/>
  <c r="K684"/>
  <c r="K685"/>
  <c r="K686"/>
  <c r="K687"/>
  <c r="K688"/>
  <c r="K689"/>
  <c r="K690"/>
  <c r="K691"/>
  <c r="K692"/>
  <c r="K693"/>
  <c r="K694"/>
  <c r="K695"/>
  <c r="K696"/>
  <c r="K697"/>
  <c r="K698"/>
  <c r="K699"/>
  <c r="K700"/>
  <c r="K701"/>
  <c r="K702"/>
  <c r="K703"/>
  <c r="K704"/>
  <c r="K705"/>
  <c r="K706"/>
  <c r="K707"/>
  <c r="K708"/>
  <c r="K709"/>
  <c r="K710"/>
  <c r="K711"/>
  <c r="K712"/>
  <c r="K713"/>
  <c r="K714"/>
  <c r="K715"/>
  <c r="K716"/>
  <c r="K717"/>
  <c r="K718"/>
  <c r="K719"/>
  <c r="K720"/>
  <c r="K721"/>
  <c r="K722"/>
  <c r="K723"/>
  <c r="K724"/>
  <c r="K725"/>
  <c r="K726"/>
  <c r="K727"/>
  <c r="K728"/>
  <c r="K729"/>
  <c r="K730"/>
  <c r="K731"/>
  <c r="K732"/>
  <c r="K733"/>
  <c r="K734"/>
  <c r="K735"/>
  <c r="K736"/>
  <c r="K737"/>
  <c r="K738"/>
  <c r="K739"/>
  <c r="K740"/>
  <c r="K741"/>
  <c r="K742"/>
  <c r="K743"/>
  <c r="K744"/>
  <c r="K745"/>
  <c r="K746"/>
  <c r="K747"/>
  <c r="K748"/>
  <c r="K749"/>
  <c r="K750"/>
  <c r="K751"/>
  <c r="K752"/>
  <c r="K753"/>
  <c r="K754"/>
  <c r="K755"/>
  <c r="K756"/>
  <c r="K757"/>
  <c r="K758"/>
  <c r="K759"/>
  <c r="K760"/>
  <c r="K761"/>
  <c r="K762"/>
  <c r="K763"/>
  <c r="K764"/>
  <c r="K765"/>
  <c r="K766"/>
  <c r="K767"/>
  <c r="K768"/>
  <c r="K769"/>
  <c r="K770"/>
  <c r="K771"/>
  <c r="K772"/>
  <c r="K773"/>
  <c r="K774"/>
  <c r="K775"/>
  <c r="K776"/>
  <c r="K777"/>
  <c r="K778"/>
  <c r="K779"/>
  <c r="K780"/>
  <c r="K781"/>
  <c r="K782"/>
  <c r="K783"/>
  <c r="K784"/>
  <c r="K785"/>
  <c r="K786"/>
  <c r="K787"/>
  <c r="K788"/>
  <c r="K789"/>
  <c r="K790"/>
  <c r="K791"/>
  <c r="K792"/>
  <c r="K793"/>
  <c r="K794"/>
  <c r="K795"/>
  <c r="K796"/>
  <c r="K797"/>
  <c r="K798"/>
  <c r="K799"/>
  <c r="K800"/>
  <c r="K801"/>
  <c r="K802"/>
  <c r="K803"/>
  <c r="K804"/>
  <c r="K805"/>
  <c r="K806"/>
  <c r="K807"/>
  <c r="K808"/>
  <c r="K809"/>
  <c r="K810"/>
  <c r="K811"/>
  <c r="K812"/>
  <c r="K813"/>
  <c r="K814"/>
  <c r="K815"/>
  <c r="K816"/>
  <c r="K817"/>
  <c r="K818"/>
  <c r="K819"/>
  <c r="K820"/>
  <c r="K821"/>
  <c r="K822"/>
  <c r="K823"/>
  <c r="K824"/>
  <c r="K825"/>
  <c r="K826"/>
  <c r="K827"/>
  <c r="K828"/>
  <c r="K829"/>
  <c r="K830"/>
  <c r="K831"/>
  <c r="K832"/>
  <c r="K833"/>
  <c r="K834"/>
  <c r="K835"/>
  <c r="K836"/>
  <c r="K837"/>
  <c r="K838"/>
  <c r="K839"/>
  <c r="K840"/>
  <c r="K841"/>
  <c r="K842"/>
  <c r="K843"/>
  <c r="K844"/>
  <c r="K845"/>
  <c r="L844"/>
  <c r="L843"/>
  <c r="L842"/>
  <c r="L841"/>
  <c r="L840"/>
  <c r="L839"/>
  <c r="L838"/>
  <c r="L837"/>
  <c r="L836"/>
  <c r="L835"/>
  <c r="L834"/>
  <c r="L833"/>
  <c r="L832"/>
  <c r="L831"/>
  <c r="L830"/>
  <c r="L829"/>
  <c r="L828"/>
  <c r="L827"/>
  <c r="L826"/>
  <c r="L825"/>
  <c r="L824"/>
  <c r="L823"/>
  <c r="L822"/>
  <c r="L821"/>
  <c r="L820"/>
  <c r="L819"/>
  <c r="L818"/>
  <c r="L817"/>
  <c r="L816"/>
  <c r="L815"/>
  <c r="L814"/>
  <c r="L813"/>
  <c r="L812"/>
  <c r="L811"/>
  <c r="L810"/>
  <c r="L809"/>
  <c r="L808"/>
  <c r="L807"/>
  <c r="L806"/>
  <c r="L805"/>
  <c r="L804"/>
  <c r="L803"/>
  <c r="L802"/>
  <c r="L801"/>
  <c r="L800"/>
  <c r="L799"/>
  <c r="L798"/>
  <c r="L797"/>
  <c r="L796"/>
  <c r="L795"/>
  <c r="L794"/>
  <c r="L793"/>
  <c r="L792"/>
  <c r="L791"/>
  <c r="L790"/>
  <c r="L789"/>
  <c r="L788"/>
  <c r="L787"/>
  <c r="L786"/>
  <c r="L785"/>
  <c r="L784"/>
  <c r="L783"/>
  <c r="L782"/>
  <c r="L781"/>
  <c r="L780"/>
  <c r="L779"/>
  <c r="L778"/>
  <c r="L777"/>
  <c r="L776"/>
  <c r="L775"/>
  <c r="L774"/>
  <c r="L773"/>
  <c r="L772"/>
  <c r="L771"/>
  <c r="L770"/>
  <c r="L769"/>
  <c r="L768"/>
  <c r="L767"/>
  <c r="L766"/>
  <c r="L765"/>
  <c r="L764"/>
  <c r="L763"/>
  <c r="L762"/>
  <c r="L761"/>
  <c r="L760"/>
  <c r="L759"/>
  <c r="L758"/>
  <c r="L757"/>
  <c r="L756"/>
  <c r="L755"/>
  <c r="L754"/>
  <c r="L753"/>
  <c r="L752"/>
  <c r="L751"/>
  <c r="L750"/>
  <c r="L749"/>
  <c r="L748"/>
  <c r="L747"/>
  <c r="L746"/>
  <c r="L745"/>
  <c r="L744"/>
  <c r="L743"/>
  <c r="L742"/>
  <c r="L741"/>
  <c r="L740"/>
  <c r="L739"/>
  <c r="L738"/>
  <c r="L737"/>
  <c r="L736"/>
  <c r="L735"/>
  <c r="L734"/>
  <c r="L733"/>
  <c r="L732"/>
  <c r="L731"/>
  <c r="L730"/>
  <c r="L729"/>
  <c r="L728"/>
  <c r="L727"/>
  <c r="L726"/>
  <c r="L725"/>
  <c r="L724"/>
  <c r="L723"/>
  <c r="L722"/>
  <c r="L721"/>
  <c r="L720"/>
  <c r="L719"/>
  <c r="L718"/>
  <c r="L717"/>
  <c r="L716"/>
  <c r="L715"/>
  <c r="L714"/>
  <c r="L713"/>
  <c r="L712"/>
  <c r="L711"/>
  <c r="L710"/>
  <c r="L709"/>
  <c r="L708"/>
  <c r="L707"/>
  <c r="L706"/>
  <c r="L705"/>
  <c r="L704"/>
  <c r="L703"/>
  <c r="L702"/>
  <c r="L701"/>
  <c r="L700"/>
  <c r="L699"/>
  <c r="L698"/>
  <c r="L697"/>
  <c r="L696"/>
  <c r="L695"/>
  <c r="L694"/>
  <c r="L693"/>
  <c r="L692"/>
  <c r="L691"/>
  <c r="L690"/>
  <c r="L689"/>
  <c r="L688"/>
  <c r="L687"/>
  <c r="L686"/>
  <c r="L685"/>
  <c r="L684"/>
  <c r="L683"/>
  <c r="L682"/>
  <c r="L681"/>
  <c r="L680"/>
  <c r="L679"/>
  <c r="L678"/>
  <c r="L677"/>
  <c r="L676"/>
  <c r="L675"/>
  <c r="L674"/>
  <c r="L673"/>
  <c r="L672"/>
  <c r="L671"/>
  <c r="L670"/>
  <c r="L669"/>
  <c r="L668"/>
  <c r="L667"/>
  <c r="L666"/>
  <c r="L665"/>
  <c r="L664"/>
  <c r="L663"/>
  <c r="L662"/>
  <c r="L661"/>
  <c r="L660"/>
  <c r="L659"/>
  <c r="L658"/>
  <c r="K528"/>
  <c r="K529"/>
  <c r="K530"/>
  <c r="K531"/>
  <c r="K532"/>
  <c r="K533"/>
  <c r="K534"/>
  <c r="K535"/>
  <c r="K536"/>
  <c r="K537"/>
  <c r="K538"/>
  <c r="K539"/>
  <c r="K540"/>
  <c r="K541"/>
  <c r="K542"/>
  <c r="K543"/>
  <c r="K544"/>
  <c r="K545"/>
  <c r="K546"/>
  <c r="K547"/>
  <c r="K548"/>
  <c r="K549"/>
  <c r="K550"/>
  <c r="K551"/>
  <c r="K552"/>
  <c r="K553"/>
  <c r="K554"/>
  <c r="K555"/>
  <c r="K556"/>
  <c r="K557"/>
  <c r="K558"/>
  <c r="K559"/>
  <c r="K560"/>
  <c r="K561"/>
  <c r="K562"/>
  <c r="K563"/>
  <c r="K564"/>
  <c r="K565"/>
  <c r="K566"/>
  <c r="K567"/>
  <c r="K568"/>
  <c r="K569"/>
  <c r="K570"/>
  <c r="K571"/>
  <c r="K572"/>
  <c r="K573"/>
  <c r="K574"/>
  <c r="K575"/>
  <c r="K576"/>
  <c r="K577"/>
  <c r="K578"/>
  <c r="K579"/>
  <c r="K580"/>
  <c r="K581"/>
  <c r="K582"/>
  <c r="K583"/>
  <c r="K584"/>
  <c r="K585"/>
  <c r="K586"/>
  <c r="K587"/>
  <c r="K588"/>
  <c r="K589"/>
  <c r="K590"/>
  <c r="K591"/>
  <c r="K592"/>
  <c r="K593"/>
  <c r="K594"/>
  <c r="K595"/>
  <c r="K596"/>
  <c r="K597"/>
  <c r="K598"/>
  <c r="K599"/>
  <c r="K600"/>
  <c r="K601"/>
  <c r="K602"/>
  <c r="K603"/>
  <c r="K604"/>
  <c r="K605"/>
  <c r="K606"/>
  <c r="K607"/>
  <c r="K608"/>
  <c r="K609"/>
  <c r="K610"/>
  <c r="K611"/>
  <c r="K612"/>
  <c r="K613"/>
  <c r="K614"/>
  <c r="K615"/>
  <c r="K616"/>
  <c r="K617"/>
  <c r="K618"/>
  <c r="K619"/>
  <c r="K620"/>
  <c r="K621"/>
  <c r="K622"/>
  <c r="K623"/>
  <c r="K624"/>
  <c r="K625"/>
  <c r="K626"/>
  <c r="K627"/>
  <c r="K628"/>
  <c r="K629"/>
  <c r="K630"/>
  <c r="K631"/>
  <c r="K632"/>
  <c r="K633"/>
  <c r="K634"/>
  <c r="K635"/>
  <c r="K636"/>
  <c r="K637"/>
  <c r="K638"/>
  <c r="K639"/>
  <c r="K640"/>
  <c r="K641"/>
  <c r="K642"/>
  <c r="K643"/>
  <c r="K644"/>
  <c r="K645"/>
  <c r="K646"/>
  <c r="K647"/>
  <c r="K648"/>
  <c r="K649"/>
  <c r="K650"/>
  <c r="K651"/>
  <c r="L650"/>
  <c r="L649"/>
  <c r="L648"/>
  <c r="L647"/>
  <c r="L646"/>
  <c r="L645"/>
  <c r="L644"/>
  <c r="L643"/>
  <c r="L642"/>
  <c r="L641"/>
  <c r="L640"/>
  <c r="L639"/>
  <c r="L638"/>
  <c r="L637"/>
  <c r="L636"/>
  <c r="L635"/>
  <c r="L634"/>
  <c r="L633"/>
  <c r="L632"/>
  <c r="L631"/>
  <c r="L630"/>
  <c r="L629"/>
  <c r="L628"/>
  <c r="L627"/>
  <c r="L626"/>
  <c r="L625"/>
  <c r="L624"/>
  <c r="L623"/>
  <c r="L622"/>
  <c r="L621"/>
  <c r="L620"/>
  <c r="L619"/>
  <c r="L618"/>
  <c r="L617"/>
  <c r="L616"/>
  <c r="L615"/>
  <c r="L614"/>
  <c r="L613"/>
  <c r="L612"/>
  <c r="L611"/>
  <c r="L610"/>
  <c r="L609"/>
  <c r="L608"/>
  <c r="L607"/>
  <c r="L606"/>
  <c r="L605"/>
  <c r="L604"/>
  <c r="L603"/>
  <c r="L602"/>
  <c r="L601"/>
  <c r="L600"/>
  <c r="L599"/>
  <c r="L598"/>
  <c r="L597"/>
  <c r="L596"/>
  <c r="L595"/>
  <c r="L594"/>
  <c r="L593"/>
  <c r="L592"/>
  <c r="L591"/>
  <c r="L590"/>
  <c r="L589"/>
  <c r="L588"/>
  <c r="L587"/>
  <c r="L586"/>
  <c r="L585"/>
  <c r="L584"/>
  <c r="L583"/>
  <c r="L582"/>
  <c r="L581"/>
  <c r="L580"/>
  <c r="L579"/>
  <c r="L578"/>
  <c r="L577"/>
  <c r="L576"/>
  <c r="L575"/>
  <c r="L574"/>
  <c r="L573"/>
  <c r="L572"/>
  <c r="L571"/>
  <c r="L570"/>
  <c r="L569"/>
  <c r="L568"/>
  <c r="L567"/>
  <c r="L566"/>
  <c r="L565"/>
  <c r="L564"/>
  <c r="L563"/>
  <c r="L562"/>
  <c r="L561"/>
  <c r="L560"/>
  <c r="L559"/>
  <c r="L558"/>
  <c r="L557"/>
  <c r="L556"/>
  <c r="L555"/>
  <c r="L554"/>
  <c r="L553"/>
  <c r="L552"/>
  <c r="L551"/>
  <c r="L550"/>
  <c r="L549"/>
  <c r="L548"/>
  <c r="L547"/>
  <c r="L546"/>
  <c r="L545"/>
  <c r="L544"/>
  <c r="L543"/>
  <c r="L542"/>
  <c r="L541"/>
  <c r="L540"/>
  <c r="L539"/>
  <c r="L538"/>
  <c r="L537"/>
  <c r="L536"/>
  <c r="L535"/>
  <c r="L534"/>
  <c r="L533"/>
  <c r="L532"/>
  <c r="L531"/>
  <c r="L530"/>
  <c r="L529"/>
  <c r="L528"/>
  <c r="K492"/>
  <c r="K493"/>
  <c r="K494"/>
  <c r="K495"/>
  <c r="K496"/>
  <c r="K497"/>
  <c r="K498"/>
  <c r="K499"/>
  <c r="K500"/>
  <c r="K501"/>
  <c r="K502"/>
  <c r="K503"/>
  <c r="K504"/>
  <c r="K505"/>
  <c r="K506"/>
  <c r="K507"/>
  <c r="K508"/>
  <c r="K509"/>
  <c r="K510"/>
  <c r="K511"/>
  <c r="K512"/>
  <c r="K513"/>
  <c r="K514"/>
  <c r="K515"/>
  <c r="K516"/>
  <c r="K517"/>
  <c r="K518"/>
  <c r="K519"/>
  <c r="K520"/>
  <c r="K521"/>
  <c r="K522"/>
  <c r="L521"/>
  <c r="L520"/>
  <c r="L519"/>
  <c r="L518"/>
  <c r="L517"/>
  <c r="L516"/>
  <c r="L515"/>
  <c r="L514"/>
  <c r="L513"/>
  <c r="L512"/>
  <c r="L511"/>
  <c r="L510"/>
  <c r="L509"/>
  <c r="L508"/>
  <c r="L507"/>
  <c r="L506"/>
  <c r="L505"/>
  <c r="L504"/>
  <c r="L503"/>
  <c r="L502"/>
  <c r="L501"/>
  <c r="L500"/>
  <c r="L499"/>
  <c r="L498"/>
  <c r="L497"/>
  <c r="L496"/>
  <c r="L495"/>
  <c r="L494"/>
  <c r="L493"/>
  <c r="L492"/>
  <c r="K474"/>
  <c r="K475"/>
  <c r="K476"/>
  <c r="K477"/>
  <c r="K478"/>
  <c r="K479"/>
  <c r="K480"/>
  <c r="K481"/>
  <c r="K482"/>
  <c r="K483"/>
  <c r="K484"/>
  <c r="L483"/>
  <c r="L482"/>
  <c r="L481"/>
  <c r="L480"/>
  <c r="L479"/>
  <c r="L478"/>
  <c r="L477"/>
  <c r="L476"/>
  <c r="L475"/>
  <c r="L474"/>
  <c r="K419"/>
  <c r="K420"/>
  <c r="K421"/>
  <c r="K422"/>
  <c r="K423"/>
  <c r="K424"/>
  <c r="K425"/>
  <c r="K426"/>
  <c r="K427"/>
  <c r="K428"/>
  <c r="K429"/>
  <c r="K430"/>
  <c r="K431"/>
  <c r="K432"/>
  <c r="K433"/>
  <c r="K434"/>
  <c r="K435"/>
  <c r="K436"/>
  <c r="K437"/>
  <c r="K438"/>
  <c r="K439"/>
  <c r="K440"/>
  <c r="K441"/>
  <c r="K442"/>
  <c r="K443"/>
  <c r="K444"/>
  <c r="K445"/>
  <c r="K446"/>
  <c r="K447"/>
  <c r="K448"/>
  <c r="K449"/>
  <c r="K450"/>
  <c r="K451"/>
  <c r="K452"/>
  <c r="K453"/>
  <c r="K454"/>
  <c r="K455"/>
  <c r="K456"/>
  <c r="K457"/>
  <c r="K458"/>
  <c r="K459"/>
  <c r="K460"/>
  <c r="K461"/>
  <c r="K462"/>
  <c r="K463"/>
  <c r="K464"/>
  <c r="K465"/>
  <c r="K466"/>
  <c r="L465"/>
  <c r="L464"/>
  <c r="L463"/>
  <c r="L462"/>
  <c r="L461"/>
  <c r="L460"/>
  <c r="L459"/>
  <c r="L458"/>
  <c r="L457"/>
  <c r="L456"/>
  <c r="L455"/>
  <c r="L454"/>
  <c r="L453"/>
  <c r="L452"/>
  <c r="L451"/>
  <c r="L450"/>
  <c r="L449"/>
  <c r="L448"/>
  <c r="L447"/>
  <c r="L446"/>
  <c r="L445"/>
  <c r="L444"/>
  <c r="L443"/>
  <c r="L442"/>
  <c r="L441"/>
  <c r="L440"/>
  <c r="L439"/>
  <c r="L438"/>
  <c r="L437"/>
  <c r="L436"/>
  <c r="L435"/>
  <c r="L434"/>
  <c r="L433"/>
  <c r="L432"/>
  <c r="L431"/>
  <c r="L430"/>
  <c r="L429"/>
  <c r="L428"/>
  <c r="L427"/>
  <c r="L426"/>
  <c r="L425"/>
  <c r="L424"/>
  <c r="L423"/>
  <c r="L422"/>
  <c r="L421"/>
  <c r="L420"/>
  <c r="L419"/>
  <c r="K403"/>
  <c r="K404"/>
  <c r="K405"/>
  <c r="K406"/>
  <c r="K407"/>
  <c r="K408"/>
  <c r="K409"/>
  <c r="K410"/>
  <c r="K411"/>
  <c r="L410"/>
  <c r="L409"/>
  <c r="L408"/>
  <c r="L407"/>
  <c r="L406"/>
  <c r="L405"/>
  <c r="L404"/>
  <c r="L403"/>
  <c r="K386"/>
  <c r="K387"/>
  <c r="K388"/>
  <c r="K389"/>
  <c r="K390"/>
  <c r="K391"/>
  <c r="K392"/>
  <c r="K393"/>
  <c r="L392"/>
  <c r="L391"/>
  <c r="L390"/>
  <c r="L389"/>
  <c r="L388"/>
  <c r="L387"/>
  <c r="L386"/>
  <c r="K354"/>
  <c r="K355"/>
  <c r="K356"/>
  <c r="K357"/>
  <c r="K358"/>
  <c r="K359"/>
  <c r="K360"/>
  <c r="K361"/>
  <c r="K362"/>
  <c r="K363"/>
  <c r="K364"/>
  <c r="K365"/>
  <c r="J366"/>
  <c r="K366"/>
  <c r="K367"/>
  <c r="K368"/>
  <c r="K369"/>
  <c r="K370"/>
  <c r="K371"/>
  <c r="K372"/>
  <c r="K373"/>
  <c r="K374"/>
  <c r="K375"/>
  <c r="K376"/>
  <c r="L375"/>
  <c r="L374"/>
  <c r="L373"/>
  <c r="L372"/>
  <c r="L371"/>
  <c r="L370"/>
  <c r="L369"/>
  <c r="L368"/>
  <c r="L367"/>
  <c r="L366"/>
  <c r="L365"/>
  <c r="L364"/>
  <c r="L363"/>
  <c r="L362"/>
  <c r="L361"/>
  <c r="L360"/>
  <c r="L359"/>
  <c r="L358"/>
  <c r="L357"/>
  <c r="L356"/>
  <c r="L355"/>
  <c r="L354"/>
  <c r="K293"/>
  <c r="K294"/>
  <c r="K295"/>
  <c r="K296"/>
  <c r="K297"/>
  <c r="K298"/>
  <c r="K299"/>
  <c r="K300"/>
  <c r="K301"/>
  <c r="K302"/>
  <c r="K303"/>
  <c r="K304"/>
  <c r="K305"/>
  <c r="K306"/>
  <c r="K307"/>
  <c r="K308"/>
  <c r="K309"/>
  <c r="K310"/>
  <c r="K311"/>
  <c r="K312"/>
  <c r="K313"/>
  <c r="K314"/>
  <c r="K315"/>
  <c r="K316"/>
  <c r="K317"/>
  <c r="K318"/>
  <c r="K319"/>
  <c r="K320"/>
  <c r="K321"/>
  <c r="K322"/>
  <c r="K323"/>
  <c r="K324"/>
  <c r="K325"/>
  <c r="K326"/>
  <c r="K327"/>
  <c r="K328"/>
  <c r="K329"/>
  <c r="K330"/>
  <c r="K331"/>
  <c r="K332"/>
  <c r="K333"/>
  <c r="K334"/>
  <c r="K335"/>
  <c r="K336"/>
  <c r="K337"/>
  <c r="K338"/>
  <c r="K339"/>
  <c r="K340"/>
  <c r="K341"/>
  <c r="K342"/>
  <c r="K343"/>
  <c r="K344"/>
  <c r="K345"/>
  <c r="K346"/>
  <c r="K347"/>
  <c r="K348"/>
  <c r="L347"/>
  <c r="L346"/>
  <c r="L345"/>
  <c r="L344"/>
  <c r="L343"/>
  <c r="L342"/>
  <c r="L341"/>
  <c r="L340"/>
  <c r="L339"/>
  <c r="L338"/>
  <c r="L337"/>
  <c r="L336"/>
  <c r="L335"/>
  <c r="L334"/>
  <c r="L333"/>
  <c r="L332"/>
  <c r="L331"/>
  <c r="L330"/>
  <c r="L329"/>
  <c r="L328"/>
  <c r="L327"/>
  <c r="L326"/>
  <c r="L325"/>
  <c r="L324"/>
  <c r="L323"/>
  <c r="L322"/>
  <c r="L321"/>
  <c r="L320"/>
  <c r="L319"/>
  <c r="L318"/>
  <c r="L317"/>
  <c r="L316"/>
  <c r="L315"/>
  <c r="L314"/>
  <c r="L313"/>
  <c r="L312"/>
  <c r="L311"/>
  <c r="L310"/>
  <c r="L309"/>
  <c r="L308"/>
  <c r="L307"/>
  <c r="L306"/>
  <c r="L305"/>
  <c r="L304"/>
  <c r="L303"/>
  <c r="L302"/>
  <c r="L301"/>
  <c r="L300"/>
  <c r="L299"/>
  <c r="L298"/>
  <c r="L297"/>
  <c r="L296"/>
  <c r="L295"/>
  <c r="L294"/>
  <c r="L293"/>
  <c r="K175"/>
  <c r="K176"/>
  <c r="K177"/>
  <c r="K178"/>
  <c r="K179"/>
  <c r="K180"/>
  <c r="K181"/>
  <c r="K182"/>
  <c r="K183"/>
  <c r="K184"/>
  <c r="K185"/>
  <c r="K186"/>
  <c r="K187"/>
  <c r="K188"/>
  <c r="K189"/>
  <c r="K190"/>
  <c r="K191"/>
  <c r="K192"/>
  <c r="K193"/>
  <c r="K194"/>
  <c r="K195"/>
  <c r="K196"/>
  <c r="K197"/>
  <c r="K198"/>
  <c r="K199"/>
  <c r="K200"/>
  <c r="K201"/>
  <c r="K202"/>
  <c r="K203"/>
  <c r="K204"/>
  <c r="K205"/>
  <c r="K206"/>
  <c r="K207"/>
  <c r="K208"/>
  <c r="K209"/>
  <c r="K210"/>
  <c r="K211"/>
  <c r="K212"/>
  <c r="K213"/>
  <c r="K214"/>
  <c r="K215"/>
  <c r="K216"/>
  <c r="K217"/>
  <c r="K218"/>
  <c r="K219"/>
  <c r="K220"/>
  <c r="K221"/>
  <c r="K222"/>
  <c r="K223"/>
  <c r="K224"/>
  <c r="K225"/>
  <c r="K226"/>
  <c r="K227"/>
  <c r="K228"/>
  <c r="K229"/>
  <c r="K230"/>
  <c r="K231"/>
  <c r="K232"/>
  <c r="K233"/>
  <c r="K234"/>
  <c r="K235"/>
  <c r="K236"/>
  <c r="K237"/>
  <c r="K238"/>
  <c r="K239"/>
  <c r="K240"/>
  <c r="K241"/>
  <c r="K242"/>
  <c r="K243"/>
  <c r="K244"/>
  <c r="K245"/>
  <c r="K246"/>
  <c r="K247"/>
  <c r="K248"/>
  <c r="K249"/>
  <c r="K250"/>
  <c r="K251"/>
  <c r="K252"/>
  <c r="K253"/>
  <c r="K254"/>
  <c r="K255"/>
  <c r="K256"/>
  <c r="K257"/>
  <c r="K258"/>
  <c r="K259"/>
  <c r="K260"/>
  <c r="K261"/>
  <c r="K262"/>
  <c r="K263"/>
  <c r="K264"/>
  <c r="K265"/>
  <c r="K266"/>
  <c r="K267"/>
  <c r="K268"/>
  <c r="K269"/>
  <c r="K270"/>
  <c r="K271"/>
  <c r="K272"/>
  <c r="K285"/>
  <c r="L284"/>
  <c r="L283"/>
  <c r="L282"/>
  <c r="L281"/>
  <c r="L280"/>
  <c r="L279"/>
  <c r="L278"/>
  <c r="L277"/>
  <c r="L276"/>
  <c r="L275"/>
  <c r="L274"/>
  <c r="L273"/>
  <c r="L272"/>
  <c r="L271"/>
  <c r="L270"/>
  <c r="L269"/>
  <c r="L268"/>
  <c r="L267"/>
  <c r="L266"/>
  <c r="L265"/>
  <c r="L264"/>
  <c r="L263"/>
  <c r="L262"/>
  <c r="L261"/>
  <c r="L260"/>
  <c r="L259"/>
  <c r="L258"/>
  <c r="L257"/>
  <c r="L256"/>
  <c r="L255"/>
  <c r="L254"/>
  <c r="L253"/>
  <c r="L252"/>
  <c r="L251"/>
  <c r="L250"/>
  <c r="L249"/>
  <c r="L248"/>
  <c r="L247"/>
  <c r="L246"/>
  <c r="L245"/>
  <c r="L244"/>
  <c r="L243"/>
  <c r="L242"/>
  <c r="L241"/>
  <c r="L240"/>
  <c r="L239"/>
  <c r="L238"/>
  <c r="L237"/>
  <c r="L236"/>
  <c r="L235"/>
  <c r="L234"/>
  <c r="L233"/>
  <c r="L232"/>
  <c r="L231"/>
  <c r="L230"/>
  <c r="L229"/>
  <c r="L228"/>
  <c r="L227"/>
  <c r="L226"/>
  <c r="L225"/>
  <c r="L224"/>
  <c r="L223"/>
  <c r="L222"/>
  <c r="L221"/>
  <c r="L220"/>
  <c r="L219"/>
  <c r="L218"/>
  <c r="L217"/>
  <c r="L216"/>
  <c r="L215"/>
  <c r="L214"/>
  <c r="L213"/>
  <c r="L212"/>
  <c r="L211"/>
  <c r="L210"/>
  <c r="L209"/>
  <c r="L208"/>
  <c r="L207"/>
  <c r="L206"/>
  <c r="L205"/>
  <c r="L204"/>
  <c r="L203"/>
  <c r="L202"/>
  <c r="L201"/>
  <c r="L200"/>
  <c r="L199"/>
  <c r="L198"/>
  <c r="L197"/>
  <c r="L196"/>
  <c r="L195"/>
  <c r="L194"/>
  <c r="L193"/>
  <c r="L192"/>
  <c r="L191"/>
  <c r="L190"/>
  <c r="L189"/>
  <c r="L188"/>
  <c r="L187"/>
  <c r="L186"/>
  <c r="L185"/>
  <c r="L184"/>
  <c r="L183"/>
  <c r="L182"/>
  <c r="L181"/>
  <c r="L180"/>
  <c r="L179"/>
  <c r="L178"/>
  <c r="L177"/>
  <c r="L176"/>
  <c r="L175"/>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68"/>
  <c r="L67"/>
  <c r="L66"/>
  <c r="L65"/>
  <c r="L64"/>
  <c r="L63"/>
  <c r="K42"/>
  <c r="K43"/>
  <c r="K44"/>
  <c r="K45"/>
  <c r="K46"/>
  <c r="K47"/>
  <c r="K48"/>
  <c r="K49"/>
  <c r="K50"/>
  <c r="K51"/>
  <c r="K52"/>
  <c r="K53"/>
  <c r="K54"/>
  <c r="K55"/>
  <c r="K56"/>
  <c r="L55"/>
  <c r="L54"/>
  <c r="L53"/>
  <c r="L52"/>
  <c r="H52"/>
  <c r="L51"/>
  <c r="H51"/>
  <c r="L50"/>
  <c r="H50"/>
  <c r="L49"/>
  <c r="H49"/>
  <c r="L48"/>
  <c r="H48"/>
  <c r="L47"/>
  <c r="H47"/>
  <c r="L46"/>
  <c r="H46"/>
  <c r="L45"/>
  <c r="H45"/>
  <c r="L44"/>
  <c r="H44"/>
  <c r="L43"/>
  <c r="H43"/>
  <c r="L42"/>
  <c r="H42"/>
  <c r="K30"/>
  <c r="K31"/>
  <c r="K32"/>
  <c r="K33"/>
  <c r="L32"/>
  <c r="L31"/>
  <c r="L30"/>
  <c r="K20"/>
  <c r="K21"/>
  <c r="K22"/>
  <c r="K23"/>
  <c r="L22"/>
  <c r="L21"/>
  <c r="L20"/>
  <c r="K10"/>
  <c r="K11"/>
  <c r="K12"/>
  <c r="K13"/>
  <c r="L12"/>
  <c r="L11"/>
  <c r="L10"/>
  <c r="H262" i="2"/>
  <c r="H264" s="1"/>
  <c r="H263"/>
  <c r="H254"/>
  <c r="H255" s="1"/>
  <c r="H242"/>
  <c r="H243"/>
  <c r="H244"/>
  <c r="H245"/>
  <c r="H246"/>
  <c r="H247"/>
  <c r="H248"/>
  <c r="H231"/>
  <c r="H232"/>
  <c r="H233"/>
  <c r="H234"/>
  <c r="H211"/>
  <c r="H225" s="1"/>
  <c r="H212"/>
  <c r="H213"/>
  <c r="H214"/>
  <c r="H215"/>
  <c r="H216"/>
  <c r="H217"/>
  <c r="H218"/>
  <c r="H219"/>
  <c r="H220"/>
  <c r="H221"/>
  <c r="H222"/>
  <c r="H223"/>
  <c r="H224"/>
  <c r="H203"/>
  <c r="H206" s="1"/>
  <c r="H204"/>
  <c r="H205"/>
  <c r="H195"/>
  <c r="H196"/>
  <c r="H197"/>
  <c r="H198"/>
  <c r="H199"/>
  <c r="H183"/>
  <c r="H188" s="1"/>
  <c r="H184"/>
  <c r="H185"/>
  <c r="H186"/>
  <c r="H187"/>
  <c r="H162"/>
  <c r="H163"/>
  <c r="H177" s="1"/>
  <c r="H164"/>
  <c r="H165"/>
  <c r="H166"/>
  <c r="H167"/>
  <c r="H168"/>
  <c r="H169"/>
  <c r="H170"/>
  <c r="H171"/>
  <c r="H172"/>
  <c r="H173"/>
  <c r="H174"/>
  <c r="H175"/>
  <c r="H176"/>
  <c r="H150"/>
  <c r="H151"/>
  <c r="H157" s="1"/>
  <c r="H152"/>
  <c r="H153"/>
  <c r="H154"/>
  <c r="H155"/>
  <c r="H156"/>
  <c r="H142"/>
  <c r="H143"/>
  <c r="H134"/>
  <c r="H135"/>
  <c r="H124"/>
  <c r="H125"/>
  <c r="H126"/>
  <c r="H112"/>
  <c r="H113"/>
  <c r="H103"/>
  <c r="H104"/>
  <c r="H105"/>
  <c r="H87"/>
  <c r="H88"/>
  <c r="H89"/>
  <c r="H79"/>
  <c r="H80"/>
  <c r="H81"/>
  <c r="H82"/>
  <c r="H70"/>
  <c r="H71"/>
  <c r="H72"/>
  <c r="H61"/>
  <c r="H62"/>
  <c r="H63"/>
  <c r="H64"/>
  <c r="H54"/>
  <c r="H55"/>
  <c r="H56"/>
  <c r="H46"/>
  <c r="H47"/>
  <c r="H48"/>
  <c r="H49"/>
  <c r="H33"/>
  <c r="H34"/>
  <c r="H35"/>
  <c r="H36"/>
  <c r="H37"/>
  <c r="H38"/>
  <c r="H39"/>
  <c r="H40"/>
  <c r="H24"/>
  <c r="H25"/>
  <c r="H26"/>
  <c r="H27"/>
  <c r="H17"/>
  <c r="H18"/>
  <c r="H19"/>
  <c r="H6"/>
  <c r="H7"/>
  <c r="H8"/>
  <c r="H9"/>
  <c r="H10"/>
  <c r="H123"/>
  <c r="H122"/>
  <c r="H121"/>
  <c r="H120"/>
  <c r="H119"/>
  <c r="H118"/>
  <c r="H102"/>
  <c r="H101"/>
  <c r="H100"/>
  <c r="H99"/>
  <c r="H98"/>
  <c r="H97"/>
  <c r="H96"/>
  <c r="H95"/>
  <c r="K1452" i="1"/>
  <c r="K1453"/>
  <c r="K1454"/>
  <c r="K1455"/>
  <c r="K1456"/>
  <c r="K1457"/>
  <c r="K1458"/>
  <c r="K1459"/>
  <c r="K1440"/>
  <c r="K1441"/>
  <c r="K1442" s="1"/>
  <c r="K1408"/>
  <c r="K1409"/>
  <c r="K1410"/>
  <c r="K1411"/>
  <c r="K1412"/>
  <c r="K1413"/>
  <c r="K1414"/>
  <c r="K1415"/>
  <c r="K1416"/>
  <c r="K1417"/>
  <c r="K1418"/>
  <c r="K1419"/>
  <c r="K1420"/>
  <c r="K1421"/>
  <c r="K1422"/>
  <c r="K1423"/>
  <c r="K1424"/>
  <c r="K1425"/>
  <c r="K1426"/>
  <c r="K1427"/>
  <c r="K1428"/>
  <c r="K1429"/>
  <c r="K1380"/>
  <c r="K1381"/>
  <c r="K1382"/>
  <c r="K1383"/>
  <c r="K1384"/>
  <c r="K1385"/>
  <c r="K1386"/>
  <c r="K1387"/>
  <c r="K1388"/>
  <c r="K1389"/>
  <c r="K1390"/>
  <c r="K1391"/>
  <c r="K1392"/>
  <c r="K1393"/>
  <c r="K1394"/>
  <c r="K1395"/>
  <c r="K1396"/>
  <c r="K1397"/>
  <c r="K1398"/>
  <c r="K1399"/>
  <c r="K1400"/>
  <c r="K1363"/>
  <c r="K1364"/>
  <c r="K1365"/>
  <c r="K1366"/>
  <c r="K1367"/>
  <c r="K1368"/>
  <c r="K1369"/>
  <c r="K1370"/>
  <c r="K1371"/>
  <c r="K1372"/>
  <c r="K1327"/>
  <c r="K1328"/>
  <c r="K1329"/>
  <c r="K1330"/>
  <c r="K1331"/>
  <c r="K1332"/>
  <c r="K1333"/>
  <c r="K1334"/>
  <c r="K1335"/>
  <c r="K1336"/>
  <c r="K1337"/>
  <c r="K1338"/>
  <c r="K1339"/>
  <c r="K1340"/>
  <c r="K1341"/>
  <c r="K1342"/>
  <c r="K1343"/>
  <c r="K1344"/>
  <c r="K1345"/>
  <c r="K1346"/>
  <c r="K1347"/>
  <c r="K1348"/>
  <c r="K1349"/>
  <c r="K1350"/>
  <c r="K1351"/>
  <c r="K1352"/>
  <c r="K1353"/>
  <c r="K1354"/>
  <c r="K1303"/>
  <c r="K1304"/>
  <c r="K1305"/>
  <c r="K1306"/>
  <c r="K1307"/>
  <c r="K1308"/>
  <c r="K1309"/>
  <c r="K1310"/>
  <c r="K1311"/>
  <c r="K1312"/>
  <c r="K1313"/>
  <c r="K1314"/>
  <c r="K1315"/>
  <c r="K1316"/>
  <c r="K1317" s="1"/>
  <c r="K1282"/>
  <c r="K1283"/>
  <c r="K1284"/>
  <c r="K1285"/>
  <c r="K1286"/>
  <c r="K1287"/>
  <c r="K1288"/>
  <c r="K1289"/>
  <c r="K1290"/>
  <c r="K1291"/>
  <c r="K1292"/>
  <c r="K1293"/>
  <c r="K1294" s="1"/>
  <c r="K1260"/>
  <c r="K1261"/>
  <c r="K1262"/>
  <c r="K1263"/>
  <c r="K1264"/>
  <c r="K1265"/>
  <c r="K1266"/>
  <c r="K1267"/>
  <c r="K1268"/>
  <c r="K1269"/>
  <c r="K1270"/>
  <c r="K1271"/>
  <c r="K1272"/>
  <c r="K1222"/>
  <c r="K1223"/>
  <c r="K1224"/>
  <c r="K1225"/>
  <c r="K1226"/>
  <c r="K1227"/>
  <c r="K1228"/>
  <c r="K1229"/>
  <c r="K1230"/>
  <c r="K1231"/>
  <c r="K1232"/>
  <c r="K1233"/>
  <c r="K1234"/>
  <c r="K1235"/>
  <c r="K1236"/>
  <c r="K1237"/>
  <c r="K1238"/>
  <c r="K1239"/>
  <c r="K1240"/>
  <c r="K1241"/>
  <c r="K1242"/>
  <c r="K1243"/>
  <c r="K1244"/>
  <c r="K1245"/>
  <c r="K1246"/>
  <c r="K1247"/>
  <c r="K1248"/>
  <c r="K1249"/>
  <c r="K1250"/>
  <c r="K1251"/>
  <c r="K1252"/>
  <c r="K1253"/>
  <c r="K1195"/>
  <c r="K1196"/>
  <c r="K1197"/>
  <c r="K1198"/>
  <c r="K1199"/>
  <c r="K1200"/>
  <c r="K1201"/>
  <c r="K1202"/>
  <c r="K1203"/>
  <c r="K1204"/>
  <c r="K1205"/>
  <c r="K1206"/>
  <c r="K1207"/>
  <c r="K1208"/>
  <c r="K1164"/>
  <c r="K1165"/>
  <c r="K1166"/>
  <c r="K1167"/>
  <c r="K1168"/>
  <c r="K1169"/>
  <c r="K1170"/>
  <c r="K1171"/>
  <c r="K1172"/>
  <c r="K1173"/>
  <c r="K1174"/>
  <c r="K1175"/>
  <c r="K1176"/>
  <c r="K1177"/>
  <c r="K1178"/>
  <c r="K1179"/>
  <c r="K1180"/>
  <c r="K1181"/>
  <c r="K1182"/>
  <c r="K1183"/>
  <c r="K1184"/>
  <c r="K1132"/>
  <c r="K1133"/>
  <c r="K1134"/>
  <c r="K1135"/>
  <c r="K1136"/>
  <c r="K1137"/>
  <c r="K1138"/>
  <c r="K1139"/>
  <c r="K1140"/>
  <c r="K1141"/>
  <c r="K1142"/>
  <c r="K1143"/>
  <c r="K1144"/>
  <c r="K1145"/>
  <c r="K1146"/>
  <c r="K1147"/>
  <c r="K1148"/>
  <c r="K1149"/>
  <c r="K1150"/>
  <c r="K1151"/>
  <c r="K1152"/>
  <c r="K1153"/>
  <c r="K1154"/>
  <c r="K1155"/>
  <c r="K1064"/>
  <c r="K1065"/>
  <c r="K1066"/>
  <c r="K1067"/>
  <c r="K1068"/>
  <c r="K1069"/>
  <c r="K1070"/>
  <c r="K1071"/>
  <c r="K1072"/>
  <c r="K1073"/>
  <c r="K1074"/>
  <c r="K1075"/>
  <c r="K1076"/>
  <c r="K1077"/>
  <c r="K1078"/>
  <c r="K1079"/>
  <c r="K1080"/>
  <c r="K1081"/>
  <c r="K1082"/>
  <c r="K1083"/>
  <c r="K1084"/>
  <c r="K1085"/>
  <c r="K1086"/>
  <c r="K1087"/>
  <c r="K1088"/>
  <c r="K1089"/>
  <c r="K1090"/>
  <c r="K1091"/>
  <c r="K1092"/>
  <c r="K1093"/>
  <c r="K1094"/>
  <c r="K1095"/>
  <c r="K1096"/>
  <c r="K1097"/>
  <c r="K1098"/>
  <c r="K1099"/>
  <c r="K1100"/>
  <c r="K1101"/>
  <c r="K1102"/>
  <c r="K1103"/>
  <c r="K1104"/>
  <c r="K1105"/>
  <c r="K1106"/>
  <c r="K1107"/>
  <c r="K1108"/>
  <c r="K1109"/>
  <c r="K1110"/>
  <c r="K1111"/>
  <c r="K1112"/>
  <c r="K1113"/>
  <c r="K1114"/>
  <c r="K1115"/>
  <c r="K1116"/>
  <c r="K1117"/>
  <c r="K1118"/>
  <c r="K1119"/>
  <c r="K1120"/>
  <c r="K1121"/>
  <c r="K1122"/>
  <c r="K1123"/>
  <c r="K1124"/>
  <c r="K1125"/>
  <c r="K1126"/>
  <c r="K1032"/>
  <c r="K1033"/>
  <c r="K1034"/>
  <c r="K1035"/>
  <c r="K1036"/>
  <c r="K1037"/>
  <c r="K1038"/>
  <c r="K1039"/>
  <c r="K1040"/>
  <c r="K1041"/>
  <c r="K1042"/>
  <c r="K1043"/>
  <c r="K1044"/>
  <c r="K1045"/>
  <c r="K1046"/>
  <c r="K1047"/>
  <c r="K1048"/>
  <c r="K1049"/>
  <c r="K1050"/>
  <c r="K1051"/>
  <c r="K1052"/>
  <c r="K1053"/>
  <c r="K1054"/>
  <c r="K1055"/>
  <c r="K1056"/>
  <c r="K1017"/>
  <c r="K1018"/>
  <c r="K1019"/>
  <c r="K1020"/>
  <c r="K1021"/>
  <c r="K1022"/>
  <c r="K1006"/>
  <c r="K1007"/>
  <c r="K1008"/>
  <c r="K989"/>
  <c r="K990"/>
  <c r="K991"/>
  <c r="K992"/>
  <c r="K993"/>
  <c r="K994"/>
  <c r="K995"/>
  <c r="K996"/>
  <c r="K997"/>
  <c r="K998"/>
  <c r="K999" s="1"/>
  <c r="K955"/>
  <c r="K956"/>
  <c r="K957"/>
  <c r="K958"/>
  <c r="K959"/>
  <c r="K960"/>
  <c r="K961"/>
  <c r="K962"/>
  <c r="K963"/>
  <c r="K964"/>
  <c r="K965"/>
  <c r="K966"/>
  <c r="K967"/>
  <c r="K968"/>
  <c r="K969"/>
  <c r="K970"/>
  <c r="K971"/>
  <c r="K972"/>
  <c r="K973"/>
  <c r="K974"/>
  <c r="K975"/>
  <c r="K976"/>
  <c r="K977"/>
  <c r="K978"/>
  <c r="K979"/>
  <c r="K980"/>
  <c r="K981"/>
  <c r="K982"/>
  <c r="K933"/>
  <c r="K934"/>
  <c r="K935"/>
  <c r="K936"/>
  <c r="K937"/>
  <c r="K938"/>
  <c r="K939"/>
  <c r="K940"/>
  <c r="K941"/>
  <c r="K942"/>
  <c r="K943"/>
  <c r="K944"/>
  <c r="K945"/>
  <c r="K946"/>
  <c r="K908"/>
  <c r="K909"/>
  <c r="K910"/>
  <c r="K911"/>
  <c r="K912"/>
  <c r="K913"/>
  <c r="K914"/>
  <c r="K915"/>
  <c r="K916"/>
  <c r="K917"/>
  <c r="K918"/>
  <c r="K919"/>
  <c r="K920"/>
  <c r="K921"/>
  <c r="K922"/>
  <c r="K923"/>
  <c r="K924"/>
  <c r="K925"/>
  <c r="K877"/>
  <c r="K878"/>
  <c r="K879"/>
  <c r="K880"/>
  <c r="K881"/>
  <c r="K882"/>
  <c r="K883"/>
  <c r="K884"/>
  <c r="K885"/>
  <c r="K886"/>
  <c r="K887"/>
  <c r="K888"/>
  <c r="K889"/>
  <c r="K890"/>
  <c r="K891"/>
  <c r="K892"/>
  <c r="K893"/>
  <c r="K894"/>
  <c r="K895"/>
  <c r="K896"/>
  <c r="K897"/>
  <c r="K898"/>
  <c r="K899"/>
  <c r="K900"/>
  <c r="K901"/>
  <c r="K855"/>
  <c r="K856"/>
  <c r="K857"/>
  <c r="K858"/>
  <c r="K859"/>
  <c r="K860"/>
  <c r="K861"/>
  <c r="K862"/>
  <c r="K863"/>
  <c r="K864"/>
  <c r="K865"/>
  <c r="K866"/>
  <c r="K867"/>
  <c r="K868"/>
  <c r="K869" s="1"/>
  <c r="K812"/>
  <c r="K813"/>
  <c r="K814"/>
  <c r="K815"/>
  <c r="K816"/>
  <c r="K817"/>
  <c r="K818"/>
  <c r="K819"/>
  <c r="K820"/>
  <c r="K821"/>
  <c r="K822"/>
  <c r="K823"/>
  <c r="K824"/>
  <c r="K825"/>
  <c r="K826"/>
  <c r="K827"/>
  <c r="K828"/>
  <c r="K829"/>
  <c r="K830"/>
  <c r="K831"/>
  <c r="K832"/>
  <c r="K833"/>
  <c r="K834"/>
  <c r="K835"/>
  <c r="K836"/>
  <c r="K837"/>
  <c r="K838"/>
  <c r="K839"/>
  <c r="K840"/>
  <c r="K841"/>
  <c r="K842"/>
  <c r="K843"/>
  <c r="K844"/>
  <c r="K845"/>
  <c r="K846"/>
  <c r="K847"/>
  <c r="K795"/>
  <c r="K796"/>
  <c r="K797"/>
  <c r="K798"/>
  <c r="K799"/>
  <c r="K800"/>
  <c r="K779"/>
  <c r="K780"/>
  <c r="K781"/>
  <c r="K782"/>
  <c r="K783"/>
  <c r="K784"/>
  <c r="K785"/>
  <c r="K786"/>
  <c r="K754"/>
  <c r="K755"/>
  <c r="K756"/>
  <c r="K757"/>
  <c r="K758"/>
  <c r="K759"/>
  <c r="K760"/>
  <c r="K761"/>
  <c r="K762"/>
  <c r="K763"/>
  <c r="K764"/>
  <c r="K765"/>
  <c r="K766"/>
  <c r="K767"/>
  <c r="K768"/>
  <c r="K769"/>
  <c r="K721"/>
  <c r="K722"/>
  <c r="K723"/>
  <c r="K724"/>
  <c r="K725"/>
  <c r="K726"/>
  <c r="K727"/>
  <c r="K728"/>
  <c r="K729"/>
  <c r="K730"/>
  <c r="K731"/>
  <c r="K732"/>
  <c r="K733"/>
  <c r="K734"/>
  <c r="K735"/>
  <c r="K736"/>
  <c r="K737"/>
  <c r="K738"/>
  <c r="K739"/>
  <c r="K740"/>
  <c r="K741"/>
  <c r="K742"/>
  <c r="K743"/>
  <c r="K744"/>
  <c r="K745"/>
  <c r="K699"/>
  <c r="K700"/>
  <c r="K701"/>
  <c r="K702"/>
  <c r="K703"/>
  <c r="K704"/>
  <c r="K705"/>
  <c r="K706"/>
  <c r="K707"/>
  <c r="K708"/>
  <c r="K709"/>
  <c r="K710"/>
  <c r="K711"/>
  <c r="K712"/>
  <c r="K713"/>
  <c r="K714"/>
  <c r="K671"/>
  <c r="K672"/>
  <c r="K673"/>
  <c r="K674"/>
  <c r="K675"/>
  <c r="K676"/>
  <c r="K677"/>
  <c r="K678"/>
  <c r="K679"/>
  <c r="K680"/>
  <c r="K681"/>
  <c r="K682"/>
  <c r="K683"/>
  <c r="K684"/>
  <c r="K685"/>
  <c r="K686"/>
  <c r="K687"/>
  <c r="K688"/>
  <c r="K689"/>
  <c r="K690"/>
  <c r="K691"/>
  <c r="K649"/>
  <c r="K650"/>
  <c r="K651"/>
  <c r="K652"/>
  <c r="K653"/>
  <c r="K654"/>
  <c r="K655"/>
  <c r="K656"/>
  <c r="K657"/>
  <c r="K658"/>
  <c r="K659"/>
  <c r="K660"/>
  <c r="K661"/>
  <c r="K626"/>
  <c r="K627"/>
  <c r="K628"/>
  <c r="K629"/>
  <c r="K630"/>
  <c r="K631"/>
  <c r="K632"/>
  <c r="K633"/>
  <c r="K634"/>
  <c r="K635"/>
  <c r="K636"/>
  <c r="K637"/>
  <c r="K638"/>
  <c r="K604"/>
  <c r="K605"/>
  <c r="K606"/>
  <c r="K607"/>
  <c r="K608"/>
  <c r="K609"/>
  <c r="K610"/>
  <c r="K611"/>
  <c r="K612"/>
  <c r="K613"/>
  <c r="K614"/>
  <c r="K615"/>
  <c r="K616"/>
  <c r="K617"/>
  <c r="K587"/>
  <c r="K588"/>
  <c r="K589"/>
  <c r="K590"/>
  <c r="K591"/>
  <c r="K592"/>
  <c r="K593"/>
  <c r="K594"/>
  <c r="K595"/>
  <c r="K596"/>
  <c r="K597"/>
  <c r="K598"/>
  <c r="K560"/>
  <c r="K561"/>
  <c r="K562"/>
  <c r="K563"/>
  <c r="K564"/>
  <c r="K565"/>
  <c r="K566"/>
  <c r="K567"/>
  <c r="K568"/>
  <c r="K569"/>
  <c r="K570"/>
  <c r="K571"/>
  <c r="K572"/>
  <c r="K573"/>
  <c r="K574"/>
  <c r="K575"/>
  <c r="K576"/>
  <c r="K577"/>
  <c r="K578"/>
  <c r="K579"/>
  <c r="K580"/>
  <c r="K531"/>
  <c r="K532"/>
  <c r="K533"/>
  <c r="K534"/>
  <c r="K535"/>
  <c r="K536"/>
  <c r="K537"/>
  <c r="K538"/>
  <c r="K539"/>
  <c r="K540"/>
  <c r="K541"/>
  <c r="K542"/>
  <c r="K543"/>
  <c r="K544"/>
  <c r="K545"/>
  <c r="K546"/>
  <c r="K547"/>
  <c r="K548"/>
  <c r="K549"/>
  <c r="K550"/>
  <c r="K551"/>
  <c r="K552"/>
  <c r="K508"/>
  <c r="K509"/>
  <c r="K510"/>
  <c r="K511"/>
  <c r="K512"/>
  <c r="K513"/>
  <c r="K514"/>
  <c r="K515"/>
  <c r="K516"/>
  <c r="K517"/>
  <c r="K518"/>
  <c r="K519"/>
  <c r="K520"/>
  <c r="K521"/>
  <c r="K522"/>
  <c r="K523"/>
  <c r="K524"/>
  <c r="K525"/>
  <c r="L482"/>
  <c r="L483"/>
  <c r="L484"/>
  <c r="L485"/>
  <c r="L486"/>
  <c r="L487"/>
  <c r="L488"/>
  <c r="L489"/>
  <c r="L490"/>
  <c r="L491"/>
  <c r="L492"/>
  <c r="L493"/>
  <c r="L494"/>
  <c r="L495"/>
  <c r="L496"/>
  <c r="L497"/>
  <c r="L498"/>
  <c r="L499"/>
  <c r="L500"/>
  <c r="L501"/>
  <c r="K502"/>
  <c r="K442"/>
  <c r="K443"/>
  <c r="K444"/>
  <c r="K445"/>
  <c r="K446"/>
  <c r="K447"/>
  <c r="K448"/>
  <c r="K449"/>
  <c r="K450"/>
  <c r="K451"/>
  <c r="K452"/>
  <c r="K453"/>
  <c r="K454"/>
  <c r="K455"/>
  <c r="K456"/>
  <c r="K457"/>
  <c r="K458"/>
  <c r="K459"/>
  <c r="K460"/>
  <c r="K461"/>
  <c r="K462"/>
  <c r="K463"/>
  <c r="K464"/>
  <c r="K465"/>
  <c r="K466"/>
  <c r="K467"/>
  <c r="K468"/>
  <c r="K469"/>
  <c r="K470"/>
  <c r="K471"/>
  <c r="K472"/>
  <c r="K387"/>
  <c r="K388"/>
  <c r="K389"/>
  <c r="K390"/>
  <c r="K391"/>
  <c r="K392"/>
  <c r="K393"/>
  <c r="K394"/>
  <c r="K395"/>
  <c r="K396"/>
  <c r="K397"/>
  <c r="K398"/>
  <c r="K399"/>
  <c r="K400"/>
  <c r="K401"/>
  <c r="K402"/>
  <c r="K403"/>
  <c r="K404"/>
  <c r="K405"/>
  <c r="K406"/>
  <c r="K407"/>
  <c r="K408"/>
  <c r="K409"/>
  <c r="K410"/>
  <c r="K411"/>
  <c r="K412"/>
  <c r="K413"/>
  <c r="K414"/>
  <c r="K415"/>
  <c r="K416"/>
  <c r="K417"/>
  <c r="K418"/>
  <c r="K419"/>
  <c r="K420"/>
  <c r="K421"/>
  <c r="K422"/>
  <c r="K423"/>
  <c r="K424"/>
  <c r="K425"/>
  <c r="K426"/>
  <c r="K427"/>
  <c r="K428"/>
  <c r="K429"/>
  <c r="K430"/>
  <c r="K431"/>
  <c r="K432"/>
  <c r="K433"/>
  <c r="K434"/>
  <c r="K336"/>
  <c r="K337"/>
  <c r="K338"/>
  <c r="K339"/>
  <c r="K340"/>
  <c r="K341"/>
  <c r="K342"/>
  <c r="K343"/>
  <c r="K344"/>
  <c r="K345"/>
  <c r="K346"/>
  <c r="K347"/>
  <c r="K348"/>
  <c r="K349"/>
  <c r="K350"/>
  <c r="K351"/>
  <c r="K352"/>
  <c r="K353"/>
  <c r="K354"/>
  <c r="K355"/>
  <c r="K356"/>
  <c r="K357"/>
  <c r="K358"/>
  <c r="K359"/>
  <c r="K360"/>
  <c r="K361"/>
  <c r="K362"/>
  <c r="K363"/>
  <c r="K364"/>
  <c r="K365"/>
  <c r="K366"/>
  <c r="K367"/>
  <c r="K368"/>
  <c r="K369"/>
  <c r="K370"/>
  <c r="K371"/>
  <c r="K372"/>
  <c r="K373"/>
  <c r="K374"/>
  <c r="K375"/>
  <c r="K320"/>
  <c r="K321"/>
  <c r="K322"/>
  <c r="K323"/>
  <c r="K324"/>
  <c r="K325"/>
  <c r="K253"/>
  <c r="K254"/>
  <c r="K255"/>
  <c r="K256"/>
  <c r="K257"/>
  <c r="K258"/>
  <c r="K259"/>
  <c r="K260"/>
  <c r="K261"/>
  <c r="K262"/>
  <c r="K263"/>
  <c r="K264"/>
  <c r="K265"/>
  <c r="K266"/>
  <c r="K267"/>
  <c r="K268"/>
  <c r="K269"/>
  <c r="K270"/>
  <c r="K271"/>
  <c r="K272"/>
  <c r="K273"/>
  <c r="K274"/>
  <c r="K275"/>
  <c r="K276"/>
  <c r="K277"/>
  <c r="K278"/>
  <c r="K279"/>
  <c r="K280"/>
  <c r="K281"/>
  <c r="K282"/>
  <c r="K283"/>
  <c r="K284"/>
  <c r="K285"/>
  <c r="K286"/>
  <c r="K287"/>
  <c r="K288"/>
  <c r="K289"/>
  <c r="K290"/>
  <c r="K291"/>
  <c r="K292"/>
  <c r="K293"/>
  <c r="K294"/>
  <c r="K295"/>
  <c r="K296"/>
  <c r="K297"/>
  <c r="K298"/>
  <c r="K299"/>
  <c r="K300"/>
  <c r="K301"/>
  <c r="K302"/>
  <c r="K303"/>
  <c r="K304"/>
  <c r="K305"/>
  <c r="K306"/>
  <c r="K307"/>
  <c r="K308"/>
  <c r="K309"/>
  <c r="K310"/>
  <c r="K311"/>
  <c r="K312"/>
  <c r="K313"/>
  <c r="K209"/>
  <c r="K210"/>
  <c r="K211"/>
  <c r="K212"/>
  <c r="K213"/>
  <c r="K214"/>
  <c r="K215"/>
  <c r="K216"/>
  <c r="K217"/>
  <c r="K218"/>
  <c r="K219"/>
  <c r="K220"/>
  <c r="K221"/>
  <c r="K222"/>
  <c r="K223"/>
  <c r="K224"/>
  <c r="K225"/>
  <c r="K226"/>
  <c r="K227"/>
  <c r="K228"/>
  <c r="K229"/>
  <c r="K230"/>
  <c r="K231"/>
  <c r="K232"/>
  <c r="K233"/>
  <c r="K234"/>
  <c r="K235"/>
  <c r="K236"/>
  <c r="K237"/>
  <c r="K238"/>
  <c r="K239"/>
  <c r="K240"/>
  <c r="K241"/>
  <c r="K242"/>
  <c r="K243"/>
  <c r="K244"/>
  <c r="K245"/>
  <c r="K172"/>
  <c r="K173"/>
  <c r="K174"/>
  <c r="K175"/>
  <c r="K176"/>
  <c r="K177"/>
  <c r="K178"/>
  <c r="K179"/>
  <c r="K180"/>
  <c r="K181"/>
  <c r="K182"/>
  <c r="K183"/>
  <c r="K184"/>
  <c r="K185"/>
  <c r="K186"/>
  <c r="K187"/>
  <c r="K188"/>
  <c r="K189"/>
  <c r="K190"/>
  <c r="K191"/>
  <c r="K192"/>
  <c r="K193"/>
  <c r="K194"/>
  <c r="K195"/>
  <c r="K196"/>
  <c r="K197"/>
  <c r="K198"/>
  <c r="K199"/>
  <c r="K200"/>
  <c r="K201"/>
  <c r="K202"/>
  <c r="K149"/>
  <c r="K150"/>
  <c r="K151"/>
  <c r="K152"/>
  <c r="K153"/>
  <c r="K154"/>
  <c r="K155"/>
  <c r="K156"/>
  <c r="K157"/>
  <c r="K158"/>
  <c r="K159"/>
  <c r="K160"/>
  <c r="K161"/>
  <c r="K162"/>
  <c r="K163"/>
  <c r="K164"/>
  <c r="K165"/>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67"/>
  <c r="K68"/>
  <c r="K69"/>
  <c r="K70"/>
  <c r="K71"/>
  <c r="K72"/>
  <c r="K73"/>
  <c r="K74"/>
  <c r="K75"/>
  <c r="K76"/>
  <c r="K77"/>
  <c r="K78"/>
  <c r="K79"/>
  <c r="K80"/>
  <c r="K81"/>
  <c r="K82"/>
  <c r="K83"/>
  <c r="K84"/>
  <c r="K85"/>
  <c r="K86"/>
  <c r="K87"/>
  <c r="K88"/>
  <c r="K89"/>
  <c r="K90"/>
  <c r="K91"/>
  <c r="K43"/>
  <c r="K44"/>
  <c r="K45"/>
  <c r="K46"/>
  <c r="K47"/>
  <c r="K48"/>
  <c r="K49"/>
  <c r="K50"/>
  <c r="K51"/>
  <c r="K52"/>
  <c r="K53"/>
  <c r="K54"/>
  <c r="K55"/>
  <c r="K56"/>
  <c r="K57"/>
  <c r="K58"/>
  <c r="K59"/>
  <c r="K60"/>
  <c r="K23"/>
  <c r="K24"/>
  <c r="K25"/>
  <c r="K26"/>
  <c r="K27"/>
  <c r="K28"/>
  <c r="K29"/>
  <c r="K30"/>
  <c r="K31"/>
  <c r="K32"/>
  <c r="K33"/>
  <c r="K34"/>
  <c r="K35"/>
  <c r="K36"/>
  <c r="K8"/>
  <c r="K9"/>
  <c r="K10"/>
  <c r="K11"/>
  <c r="K12"/>
  <c r="K13"/>
  <c r="K14"/>
  <c r="H1452"/>
  <c r="H1453"/>
  <c r="H1454"/>
  <c r="H1455"/>
  <c r="H1456"/>
  <c r="H1457"/>
  <c r="H1458"/>
  <c r="H1459"/>
  <c r="H1440"/>
  <c r="H1441"/>
  <c r="H1442" s="1"/>
  <c r="H1408"/>
  <c r="H1409"/>
  <c r="H1410"/>
  <c r="H1411"/>
  <c r="H1412"/>
  <c r="H1413"/>
  <c r="H1414"/>
  <c r="H1415"/>
  <c r="H1416"/>
  <c r="H1417"/>
  <c r="H1418"/>
  <c r="H1419"/>
  <c r="H1420"/>
  <c r="H1421"/>
  <c r="H1422"/>
  <c r="H1423"/>
  <c r="H1424"/>
  <c r="H1425"/>
  <c r="H1426"/>
  <c r="H1427"/>
  <c r="H1428"/>
  <c r="H1429"/>
  <c r="H1380"/>
  <c r="H1381"/>
  <c r="H1382"/>
  <c r="H1383"/>
  <c r="H1384"/>
  <c r="H1385"/>
  <c r="H1386"/>
  <c r="H1387"/>
  <c r="H1388"/>
  <c r="H1389"/>
  <c r="H1400" s="1"/>
  <c r="H1390"/>
  <c r="H1391"/>
  <c r="H1392"/>
  <c r="H1393"/>
  <c r="H1394"/>
  <c r="H1395"/>
  <c r="H1396"/>
  <c r="H1397"/>
  <c r="H1398"/>
  <c r="H1399"/>
  <c r="H1363"/>
  <c r="H1372" s="1"/>
  <c r="H1364"/>
  <c r="H1365"/>
  <c r="H1366"/>
  <c r="H1367"/>
  <c r="H1368"/>
  <c r="H1369"/>
  <c r="H1370"/>
  <c r="H1371"/>
  <c r="H1327"/>
  <c r="H1328"/>
  <c r="H1329"/>
  <c r="H1330"/>
  <c r="H1331"/>
  <c r="H1332"/>
  <c r="H1333"/>
  <c r="H1334"/>
  <c r="H1335"/>
  <c r="H1336"/>
  <c r="H1337"/>
  <c r="H1338"/>
  <c r="H1339"/>
  <c r="H1340"/>
  <c r="H1341"/>
  <c r="H1342"/>
  <c r="H1343"/>
  <c r="H1344"/>
  <c r="H1345"/>
  <c r="H1346"/>
  <c r="H1347"/>
  <c r="H1348"/>
  <c r="H1349"/>
  <c r="H1350"/>
  <c r="H1351"/>
  <c r="H1354" s="1"/>
  <c r="H1352"/>
  <c r="H1353"/>
  <c r="H1303"/>
  <c r="H1304"/>
  <c r="H1305"/>
  <c r="H1306"/>
  <c r="H1307"/>
  <c r="H1308"/>
  <c r="H1309"/>
  <c r="H1310"/>
  <c r="H1311"/>
  <c r="H1312"/>
  <c r="H1313"/>
  <c r="H1314"/>
  <c r="H1315"/>
  <c r="H1316"/>
  <c r="H1282"/>
  <c r="H1283"/>
  <c r="H1294" s="1"/>
  <c r="H1284"/>
  <c r="H1285"/>
  <c r="H1286"/>
  <c r="H1287"/>
  <c r="H1288"/>
  <c r="H1289"/>
  <c r="H1290"/>
  <c r="H1291"/>
  <c r="H1292"/>
  <c r="H1293"/>
  <c r="H1260"/>
  <c r="H1261"/>
  <c r="H1262"/>
  <c r="H1263"/>
  <c r="H1264"/>
  <c r="H1265"/>
  <c r="H1266"/>
  <c r="H1267"/>
  <c r="H1268"/>
  <c r="H1269"/>
  <c r="H1270"/>
  <c r="H1271"/>
  <c r="H1272"/>
  <c r="H1222"/>
  <c r="H1223"/>
  <c r="H1224"/>
  <c r="H1225"/>
  <c r="H1226"/>
  <c r="H1227"/>
  <c r="H1228"/>
  <c r="H1229"/>
  <c r="H1230"/>
  <c r="H1231"/>
  <c r="H1232"/>
  <c r="H1233"/>
  <c r="H1234"/>
  <c r="H1235"/>
  <c r="H1236"/>
  <c r="H1237"/>
  <c r="H1238"/>
  <c r="H1239"/>
  <c r="H1240"/>
  <c r="H1241"/>
  <c r="H1242"/>
  <c r="H1243"/>
  <c r="H1244"/>
  <c r="H1245"/>
  <c r="H1246"/>
  <c r="H1247"/>
  <c r="H1248"/>
  <c r="H1249"/>
  <c r="H1250"/>
  <c r="H1252"/>
  <c r="H1195"/>
  <c r="H1196"/>
  <c r="H1197"/>
  <c r="H1198"/>
  <c r="H1199"/>
  <c r="H1200"/>
  <c r="H1201"/>
  <c r="H1202"/>
  <c r="H1203"/>
  <c r="H1204"/>
  <c r="H1205"/>
  <c r="H1206"/>
  <c r="H1207"/>
  <c r="H1164"/>
  <c r="H1165"/>
  <c r="H1166"/>
  <c r="H1167"/>
  <c r="H1168"/>
  <c r="H1169"/>
  <c r="H1170"/>
  <c r="H1171"/>
  <c r="H1172"/>
  <c r="H1173"/>
  <c r="H1174"/>
  <c r="H1175"/>
  <c r="H1176"/>
  <c r="H1177"/>
  <c r="H1178"/>
  <c r="H1179"/>
  <c r="H1180"/>
  <c r="H1181"/>
  <c r="H1182"/>
  <c r="H1183"/>
  <c r="H1184"/>
  <c r="H1132"/>
  <c r="H1133"/>
  <c r="H1134"/>
  <c r="H1135"/>
  <c r="H1136"/>
  <c r="H1137"/>
  <c r="H1138"/>
  <c r="H1139"/>
  <c r="H1140"/>
  <c r="H1141"/>
  <c r="H1142"/>
  <c r="H1143"/>
  <c r="H1144"/>
  <c r="H1145"/>
  <c r="H1146"/>
  <c r="H1147"/>
  <c r="H1148"/>
  <c r="H1149"/>
  <c r="H1150"/>
  <c r="H1151"/>
  <c r="H1152"/>
  <c r="H1153"/>
  <c r="H1154"/>
  <c r="H1155"/>
  <c r="H1064"/>
  <c r="H1065"/>
  <c r="H1066"/>
  <c r="H1067"/>
  <c r="H1068"/>
  <c r="H1069"/>
  <c r="H1070"/>
  <c r="H1071"/>
  <c r="H1072"/>
  <c r="H1073"/>
  <c r="H1074"/>
  <c r="H1075"/>
  <c r="H1076"/>
  <c r="H1077"/>
  <c r="H1078"/>
  <c r="H1079"/>
  <c r="H1080"/>
  <c r="H1081"/>
  <c r="H1082"/>
  <c r="H1083"/>
  <c r="H1084"/>
  <c r="H1085"/>
  <c r="H1086"/>
  <c r="H1087"/>
  <c r="H1088"/>
  <c r="H1089"/>
  <c r="H1090"/>
  <c r="H1091"/>
  <c r="H1092"/>
  <c r="H1093"/>
  <c r="H1094"/>
  <c r="H1095"/>
  <c r="H1096"/>
  <c r="H1097"/>
  <c r="H1098"/>
  <c r="H1099"/>
  <c r="H1100"/>
  <c r="H1101"/>
  <c r="H1102"/>
  <c r="H1103"/>
  <c r="H1104"/>
  <c r="H1105"/>
  <c r="H1106"/>
  <c r="H1107"/>
  <c r="H1108"/>
  <c r="H1109"/>
  <c r="H1110"/>
  <c r="H1111"/>
  <c r="H1112"/>
  <c r="H1113"/>
  <c r="H1114"/>
  <c r="H1115"/>
  <c r="H1116"/>
  <c r="H1117"/>
  <c r="H1118"/>
  <c r="H1119"/>
  <c r="H1120"/>
  <c r="H1121"/>
  <c r="H1122"/>
  <c r="H1123"/>
  <c r="H1124"/>
  <c r="H1125"/>
  <c r="H1032"/>
  <c r="H1033"/>
  <c r="H1056" s="1"/>
  <c r="H1034"/>
  <c r="H1035"/>
  <c r="H1036"/>
  <c r="H1037"/>
  <c r="H1038"/>
  <c r="H1039"/>
  <c r="H1040"/>
  <c r="H1041"/>
  <c r="H1042"/>
  <c r="H1043"/>
  <c r="H1044"/>
  <c r="H1045"/>
  <c r="H1046"/>
  <c r="H1047"/>
  <c r="H1048"/>
  <c r="H1049"/>
  <c r="H1050"/>
  <c r="H1051"/>
  <c r="H1052"/>
  <c r="H1053"/>
  <c r="H1054"/>
  <c r="H1055"/>
  <c r="H1017"/>
  <c r="H1022" s="1"/>
  <c r="H1018"/>
  <c r="H1019"/>
  <c r="H1020"/>
  <c r="H1021"/>
  <c r="H1006"/>
  <c r="H1007"/>
  <c r="H989"/>
  <c r="H990"/>
  <c r="H991"/>
  <c r="H992"/>
  <c r="H993"/>
  <c r="H994"/>
  <c r="H995"/>
  <c r="H996"/>
  <c r="H997"/>
  <c r="H998"/>
  <c r="H999"/>
  <c r="H955"/>
  <c r="H956"/>
  <c r="H957"/>
  <c r="H958"/>
  <c r="H959"/>
  <c r="H960"/>
  <c r="H961"/>
  <c r="H962"/>
  <c r="H963"/>
  <c r="H964"/>
  <c r="H965"/>
  <c r="H966"/>
  <c r="H967"/>
  <c r="H968"/>
  <c r="H969"/>
  <c r="H970"/>
  <c r="H971"/>
  <c r="H972"/>
  <c r="H973"/>
  <c r="H974"/>
  <c r="H975"/>
  <c r="H976"/>
  <c r="H977"/>
  <c r="H978"/>
  <c r="H979"/>
  <c r="H980"/>
  <c r="H981"/>
  <c r="H982"/>
  <c r="H933"/>
  <c r="H934"/>
  <c r="H935"/>
  <c r="H936"/>
  <c r="H937"/>
  <c r="H938"/>
  <c r="H939"/>
  <c r="H940"/>
  <c r="H941"/>
  <c r="H942"/>
  <c r="H943"/>
  <c r="H944"/>
  <c r="H945"/>
  <c r="H946"/>
  <c r="H908"/>
  <c r="H909"/>
  <c r="H910"/>
  <c r="H911"/>
  <c r="H912"/>
  <c r="H913"/>
  <c r="H914"/>
  <c r="H915"/>
  <c r="H916"/>
  <c r="H917"/>
  <c r="H918"/>
  <c r="H919"/>
  <c r="H920"/>
  <c r="H921"/>
  <c r="H922"/>
  <c r="H923"/>
  <c r="H924"/>
  <c r="H877"/>
  <c r="H878"/>
  <c r="H879"/>
  <c r="H880"/>
  <c r="H881"/>
  <c r="H882"/>
  <c r="H883"/>
  <c r="H884"/>
  <c r="H885"/>
  <c r="H886"/>
  <c r="H887"/>
  <c r="H888"/>
  <c r="H889"/>
  <c r="H890"/>
  <c r="H891"/>
  <c r="H892"/>
  <c r="H893"/>
  <c r="H894"/>
  <c r="H895"/>
  <c r="H896"/>
  <c r="H897"/>
  <c r="H898"/>
  <c r="H899"/>
  <c r="H900"/>
  <c r="H901"/>
  <c r="H855"/>
  <c r="H856"/>
  <c r="H857"/>
  <c r="H858"/>
  <c r="H859"/>
  <c r="H860"/>
  <c r="H861"/>
  <c r="H862"/>
  <c r="H863"/>
  <c r="H864"/>
  <c r="H865"/>
  <c r="H866"/>
  <c r="H867"/>
  <c r="H868"/>
  <c r="G812"/>
  <c r="H812" s="1"/>
  <c r="G813"/>
  <c r="H813" s="1"/>
  <c r="G814"/>
  <c r="H814" s="1"/>
  <c r="G815"/>
  <c r="H815" s="1"/>
  <c r="G816"/>
  <c r="H816" s="1"/>
  <c r="G817"/>
  <c r="H817" s="1"/>
  <c r="G818"/>
  <c r="H818" s="1"/>
  <c r="G819"/>
  <c r="H819" s="1"/>
  <c r="G820"/>
  <c r="H820" s="1"/>
  <c r="G821"/>
  <c r="H821" s="1"/>
  <c r="G822"/>
  <c r="H822" s="1"/>
  <c r="G823"/>
  <c r="H823" s="1"/>
  <c r="G824"/>
  <c r="H824" s="1"/>
  <c r="G825"/>
  <c r="H825" s="1"/>
  <c r="G826"/>
  <c r="H826" s="1"/>
  <c r="G827"/>
  <c r="H827" s="1"/>
  <c r="G828"/>
  <c r="H828" s="1"/>
  <c r="G829"/>
  <c r="H829" s="1"/>
  <c r="G830"/>
  <c r="H830" s="1"/>
  <c r="G831"/>
  <c r="H831" s="1"/>
  <c r="G832"/>
  <c r="H832" s="1"/>
  <c r="G833"/>
  <c r="H833" s="1"/>
  <c r="H834"/>
  <c r="H835"/>
  <c r="G836"/>
  <c r="H836" s="1"/>
  <c r="G837"/>
  <c r="H837" s="1"/>
  <c r="G838"/>
  <c r="H838" s="1"/>
  <c r="G839"/>
  <c r="H839" s="1"/>
  <c r="G840"/>
  <c r="H840" s="1"/>
  <c r="G841"/>
  <c r="H841" s="1"/>
  <c r="G842"/>
  <c r="H842" s="1"/>
  <c r="G843"/>
  <c r="H843" s="1"/>
  <c r="G844"/>
  <c r="H844" s="1"/>
  <c r="G845"/>
  <c r="H845" s="1"/>
  <c r="G846"/>
  <c r="H846" s="1"/>
  <c r="H795"/>
  <c r="H796"/>
  <c r="H797"/>
  <c r="H798"/>
  <c r="H799"/>
  <c r="H800"/>
  <c r="H779"/>
  <c r="H780"/>
  <c r="H781"/>
  <c r="H782"/>
  <c r="H783"/>
  <c r="H784"/>
  <c r="H785"/>
  <c r="H754"/>
  <c r="H755"/>
  <c r="H756"/>
  <c r="H757"/>
  <c r="H758"/>
  <c r="H759"/>
  <c r="H760"/>
  <c r="H761"/>
  <c r="H762"/>
  <c r="H763"/>
  <c r="H764"/>
  <c r="H765"/>
  <c r="H766"/>
  <c r="H767"/>
  <c r="H768"/>
  <c r="H721"/>
  <c r="H722"/>
  <c r="H723"/>
  <c r="H724"/>
  <c r="H725"/>
  <c r="H726"/>
  <c r="H727"/>
  <c r="H728"/>
  <c r="H729"/>
  <c r="H730"/>
  <c r="H731"/>
  <c r="H732"/>
  <c r="H733"/>
  <c r="H734"/>
  <c r="H735"/>
  <c r="H736"/>
  <c r="H737"/>
  <c r="H738"/>
  <c r="H739"/>
  <c r="H740"/>
  <c r="H741"/>
  <c r="H742"/>
  <c r="H743"/>
  <c r="H744"/>
  <c r="H745"/>
  <c r="H699"/>
  <c r="H700"/>
  <c r="H701"/>
  <c r="H702"/>
  <c r="H703"/>
  <c r="H704"/>
  <c r="H705"/>
  <c r="H706"/>
  <c r="H707"/>
  <c r="H708"/>
  <c r="H709"/>
  <c r="H710"/>
  <c r="H711"/>
  <c r="H712"/>
  <c r="H713"/>
  <c r="H671"/>
  <c r="H672"/>
  <c r="H673"/>
  <c r="H674"/>
  <c r="H675"/>
  <c r="H676"/>
  <c r="H677"/>
  <c r="H678"/>
  <c r="H679"/>
  <c r="H680"/>
  <c r="H681"/>
  <c r="H682"/>
  <c r="H683"/>
  <c r="H684"/>
  <c r="H685"/>
  <c r="H686"/>
  <c r="H687"/>
  <c r="H688"/>
  <c r="H689"/>
  <c r="H690"/>
  <c r="H691"/>
  <c r="H649"/>
  <c r="H650"/>
  <c r="H651"/>
  <c r="H652"/>
  <c r="H653"/>
  <c r="H654"/>
  <c r="H655"/>
  <c r="H656"/>
  <c r="H657"/>
  <c r="H658"/>
  <c r="H659"/>
  <c r="H660"/>
  <c r="G626"/>
  <c r="H626" s="1"/>
  <c r="G627"/>
  <c r="H627" s="1"/>
  <c r="H628"/>
  <c r="G629"/>
  <c r="H629" s="1"/>
  <c r="G630"/>
  <c r="H630" s="1"/>
  <c r="G631"/>
  <c r="H631" s="1"/>
  <c r="G632"/>
  <c r="H632" s="1"/>
  <c r="G633"/>
  <c r="H633" s="1"/>
  <c r="G634"/>
  <c r="H634" s="1"/>
  <c r="G635"/>
  <c r="H635" s="1"/>
  <c r="G636"/>
  <c r="H636" s="1"/>
  <c r="H637"/>
  <c r="G604"/>
  <c r="H604"/>
  <c r="G605"/>
  <c r="H605"/>
  <c r="G606"/>
  <c r="H606"/>
  <c r="G607"/>
  <c r="H607"/>
  <c r="G608"/>
  <c r="H608"/>
  <c r="G609"/>
  <c r="H609"/>
  <c r="G610"/>
  <c r="H610"/>
  <c r="G611"/>
  <c r="H611"/>
  <c r="H612"/>
  <c r="G613"/>
  <c r="H613" s="1"/>
  <c r="G614"/>
  <c r="H614" s="1"/>
  <c r="G615"/>
  <c r="H615" s="1"/>
  <c r="G616"/>
  <c r="H616" s="1"/>
  <c r="H587"/>
  <c r="H598" s="1"/>
  <c r="H588"/>
  <c r="H589"/>
  <c r="H590"/>
  <c r="H591"/>
  <c r="H592"/>
  <c r="H593"/>
  <c r="H594"/>
  <c r="H595"/>
  <c r="H596"/>
  <c r="H597"/>
  <c r="H560"/>
  <c r="H561"/>
  <c r="G562"/>
  <c r="H562" s="1"/>
  <c r="H563"/>
  <c r="H564"/>
  <c r="H565"/>
  <c r="H566"/>
  <c r="H567"/>
  <c r="H568"/>
  <c r="H569"/>
  <c r="H570"/>
  <c r="H571"/>
  <c r="H572"/>
  <c r="H573"/>
  <c r="H574"/>
  <c r="H575"/>
  <c r="H576"/>
  <c r="H577"/>
  <c r="H578"/>
  <c r="G579"/>
  <c r="H579" s="1"/>
  <c r="H531"/>
  <c r="H532"/>
  <c r="H533"/>
  <c r="H534"/>
  <c r="H535"/>
  <c r="H536"/>
  <c r="H537"/>
  <c r="H538"/>
  <c r="H539"/>
  <c r="H540"/>
  <c r="H541"/>
  <c r="H542"/>
  <c r="H543"/>
  <c r="H544"/>
  <c r="H545"/>
  <c r="H546"/>
  <c r="H547"/>
  <c r="H548"/>
  <c r="H549"/>
  <c r="H550"/>
  <c r="H551"/>
  <c r="H508"/>
  <c r="H509"/>
  <c r="H510"/>
  <c r="H511"/>
  <c r="H512"/>
  <c r="H513"/>
  <c r="H514"/>
  <c r="H515"/>
  <c r="H516"/>
  <c r="H517"/>
  <c r="H518"/>
  <c r="H519"/>
  <c r="H520"/>
  <c r="H521"/>
  <c r="H522"/>
  <c r="H523"/>
  <c r="H524"/>
  <c r="H482"/>
  <c r="H483"/>
  <c r="H484"/>
  <c r="H485"/>
  <c r="H486"/>
  <c r="H487"/>
  <c r="H488"/>
  <c r="H489"/>
  <c r="H490"/>
  <c r="H491"/>
  <c r="H492"/>
  <c r="H493"/>
  <c r="H494"/>
  <c r="H495"/>
  <c r="H496"/>
  <c r="H497"/>
  <c r="H498"/>
  <c r="H499"/>
  <c r="H500"/>
  <c r="H501"/>
  <c r="H502"/>
  <c r="H442"/>
  <c r="H443"/>
  <c r="H444"/>
  <c r="H445"/>
  <c r="H446"/>
  <c r="H447"/>
  <c r="H448"/>
  <c r="H449"/>
  <c r="H450"/>
  <c r="H451"/>
  <c r="H452"/>
  <c r="H453"/>
  <c r="H454"/>
  <c r="H455"/>
  <c r="H456"/>
  <c r="H457"/>
  <c r="H458"/>
  <c r="H459"/>
  <c r="H460"/>
  <c r="H461"/>
  <c r="H462"/>
  <c r="H463"/>
  <c r="H464"/>
  <c r="H465"/>
  <c r="H466"/>
  <c r="H467"/>
  <c r="H468"/>
  <c r="H469"/>
  <c r="H470"/>
  <c r="H471"/>
  <c r="H387"/>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G320"/>
  <c r="H320" s="1"/>
  <c r="G321"/>
  <c r="H321" s="1"/>
  <c r="G322"/>
  <c r="H322" s="1"/>
  <c r="G323"/>
  <c r="H323" s="1"/>
  <c r="G324"/>
  <c r="H324" s="1"/>
  <c r="G253"/>
  <c r="H253" s="1"/>
  <c r="G254"/>
  <c r="H254" s="1"/>
  <c r="G255"/>
  <c r="H255" s="1"/>
  <c r="G256"/>
  <c r="H256" s="1"/>
  <c r="G257"/>
  <c r="H257" s="1"/>
  <c r="H258"/>
  <c r="G259"/>
  <c r="H259" s="1"/>
  <c r="G260"/>
  <c r="H260" s="1"/>
  <c r="G261"/>
  <c r="H261" s="1"/>
  <c r="G262"/>
  <c r="H262" s="1"/>
  <c r="G263"/>
  <c r="H263" s="1"/>
  <c r="G264"/>
  <c r="H264" s="1"/>
  <c r="G265"/>
  <c r="H265" s="1"/>
  <c r="G266"/>
  <c r="H266" s="1"/>
  <c r="H267"/>
  <c r="G268"/>
  <c r="H268" s="1"/>
  <c r="G269"/>
  <c r="H269" s="1"/>
  <c r="G270"/>
  <c r="H270" s="1"/>
  <c r="H271"/>
  <c r="H272"/>
  <c r="G273"/>
  <c r="H273" s="1"/>
  <c r="G274"/>
  <c r="H274" s="1"/>
  <c r="G275"/>
  <c r="H275" s="1"/>
  <c r="G276"/>
  <c r="H276" s="1"/>
  <c r="G277"/>
  <c r="H277" s="1"/>
  <c r="G278"/>
  <c r="H278" s="1"/>
  <c r="G279"/>
  <c r="H279" s="1"/>
  <c r="G280"/>
  <c r="H280" s="1"/>
  <c r="G281"/>
  <c r="H281" s="1"/>
  <c r="G282"/>
  <c r="H282" s="1"/>
  <c r="G283"/>
  <c r="H283" s="1"/>
  <c r="G284"/>
  <c r="H284" s="1"/>
  <c r="G285"/>
  <c r="H285" s="1"/>
  <c r="G286"/>
  <c r="H286" s="1"/>
  <c r="G287"/>
  <c r="H287" s="1"/>
  <c r="G288"/>
  <c r="H288" s="1"/>
  <c r="G289"/>
  <c r="H289" s="1"/>
  <c r="G290"/>
  <c r="H290" s="1"/>
  <c r="H291"/>
  <c r="G292"/>
  <c r="H292" s="1"/>
  <c r="H293"/>
  <c r="H294"/>
  <c r="H295"/>
  <c r="G296"/>
  <c r="H296"/>
  <c r="G297"/>
  <c r="H297"/>
  <c r="G298"/>
  <c r="H298"/>
  <c r="G299"/>
  <c r="H299"/>
  <c r="H300"/>
  <c r="G301"/>
  <c r="H301" s="1"/>
  <c r="G302"/>
  <c r="H302" s="1"/>
  <c r="H303"/>
  <c r="H304"/>
  <c r="G305"/>
  <c r="H305" s="1"/>
  <c r="G306"/>
  <c r="H306" s="1"/>
  <c r="G307"/>
  <c r="H307" s="1"/>
  <c r="G308"/>
  <c r="H308" s="1"/>
  <c r="H309"/>
  <c r="H310"/>
  <c r="G311"/>
  <c r="H311" s="1"/>
  <c r="G312"/>
  <c r="H312" s="1"/>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172"/>
  <c r="H173"/>
  <c r="H174"/>
  <c r="H175"/>
  <c r="H176"/>
  <c r="H177"/>
  <c r="H178"/>
  <c r="H179"/>
  <c r="H180"/>
  <c r="H181"/>
  <c r="H182"/>
  <c r="H183"/>
  <c r="H184"/>
  <c r="H185"/>
  <c r="H186"/>
  <c r="H187"/>
  <c r="H188"/>
  <c r="H189"/>
  <c r="H190"/>
  <c r="H191"/>
  <c r="H192"/>
  <c r="H193"/>
  <c r="H194"/>
  <c r="H195"/>
  <c r="H196"/>
  <c r="H197"/>
  <c r="H198"/>
  <c r="H199"/>
  <c r="H200"/>
  <c r="H201"/>
  <c r="H202"/>
  <c r="H149"/>
  <c r="H150"/>
  <c r="H151"/>
  <c r="H152"/>
  <c r="H153"/>
  <c r="H154"/>
  <c r="H155"/>
  <c r="H156"/>
  <c r="H157"/>
  <c r="H158"/>
  <c r="H159"/>
  <c r="H160"/>
  <c r="H161"/>
  <c r="H162"/>
  <c r="H163"/>
  <c r="H164"/>
  <c r="G99"/>
  <c r="H99" s="1"/>
  <c r="G100"/>
  <c r="H100" s="1"/>
  <c r="H101"/>
  <c r="G102"/>
  <c r="H102" s="1"/>
  <c r="G103"/>
  <c r="H103" s="1"/>
  <c r="H104"/>
  <c r="H105"/>
  <c r="G106"/>
  <c r="H106" s="1"/>
  <c r="G107"/>
  <c r="H107" s="1"/>
  <c r="G108"/>
  <c r="H108" s="1"/>
  <c r="G109"/>
  <c r="H109" s="1"/>
  <c r="G110"/>
  <c r="H110" s="1"/>
  <c r="G111"/>
  <c r="H111" s="1"/>
  <c r="G112"/>
  <c r="H112" s="1"/>
  <c r="H113"/>
  <c r="G114"/>
  <c r="H114" s="1"/>
  <c r="G115"/>
  <c r="H115" s="1"/>
  <c r="G116"/>
  <c r="H116" s="1"/>
  <c r="G117"/>
  <c r="H117" s="1"/>
  <c r="G118"/>
  <c r="H118" s="1"/>
  <c r="G119"/>
  <c r="H119" s="1"/>
  <c r="G120"/>
  <c r="H120" s="1"/>
  <c r="H121"/>
  <c r="G122"/>
  <c r="H122"/>
  <c r="G123"/>
  <c r="H123"/>
  <c r="H124"/>
  <c r="H125"/>
  <c r="G126"/>
  <c r="H126"/>
  <c r="G127"/>
  <c r="H127"/>
  <c r="G128"/>
  <c r="H128"/>
  <c r="G129"/>
  <c r="H129"/>
  <c r="G130"/>
  <c r="H130"/>
  <c r="G131"/>
  <c r="H131"/>
  <c r="G132"/>
  <c r="H132"/>
  <c r="G133"/>
  <c r="H133"/>
  <c r="H134"/>
  <c r="G135"/>
  <c r="H135" s="1"/>
  <c r="G136"/>
  <c r="H136" s="1"/>
  <c r="G137"/>
  <c r="H137" s="1"/>
  <c r="G138"/>
  <c r="H138" s="1"/>
  <c r="G139"/>
  <c r="H139" s="1"/>
  <c r="G140"/>
  <c r="H140" s="1"/>
  <c r="G141"/>
  <c r="H141" s="1"/>
  <c r="H67"/>
  <c r="H68"/>
  <c r="H69"/>
  <c r="H70"/>
  <c r="H71"/>
  <c r="H72"/>
  <c r="H73"/>
  <c r="H74"/>
  <c r="H75"/>
  <c r="H76"/>
  <c r="H77"/>
  <c r="H78"/>
  <c r="H79"/>
  <c r="H80"/>
  <c r="H81"/>
  <c r="H82"/>
  <c r="H83"/>
  <c r="H84"/>
  <c r="H85"/>
  <c r="H86"/>
  <c r="H87"/>
  <c r="H88"/>
  <c r="H89"/>
  <c r="H90"/>
  <c r="H43"/>
  <c r="H44"/>
  <c r="H45"/>
  <c r="H46"/>
  <c r="H47"/>
  <c r="H48"/>
  <c r="H49"/>
  <c r="H50"/>
  <c r="H51"/>
  <c r="H52"/>
  <c r="H53"/>
  <c r="H54"/>
  <c r="H55"/>
  <c r="H56"/>
  <c r="H57"/>
  <c r="H58"/>
  <c r="H59"/>
  <c r="G23"/>
  <c r="H23" s="1"/>
  <c r="G24"/>
  <c r="H24" s="1"/>
  <c r="G25"/>
  <c r="H25" s="1"/>
  <c r="G26"/>
  <c r="H26" s="1"/>
  <c r="G27"/>
  <c r="H27" s="1"/>
  <c r="G28"/>
  <c r="H28" s="1"/>
  <c r="G29"/>
  <c r="H29" s="1"/>
  <c r="G30"/>
  <c r="H30" s="1"/>
  <c r="G31"/>
  <c r="H31" s="1"/>
  <c r="G32"/>
  <c r="H32" s="1"/>
  <c r="G33"/>
  <c r="H33" s="1"/>
  <c r="G34"/>
  <c r="H34" s="1"/>
  <c r="G35"/>
  <c r="H35" s="1"/>
  <c r="H8"/>
  <c r="H9"/>
  <c r="H10"/>
  <c r="H11"/>
  <c r="H12"/>
  <c r="H13"/>
  <c r="H1461"/>
  <c r="L1458"/>
  <c r="L1457"/>
  <c r="L1456"/>
  <c r="L1455"/>
  <c r="L1454"/>
  <c r="L1453"/>
  <c r="L1452"/>
  <c r="L1441"/>
  <c r="L1440"/>
  <c r="L1428"/>
  <c r="L1427"/>
  <c r="L1426"/>
  <c r="L1425"/>
  <c r="L1424"/>
  <c r="L1423"/>
  <c r="L1422"/>
  <c r="L1421"/>
  <c r="L1420"/>
  <c r="L1419"/>
  <c r="L1418"/>
  <c r="L1417"/>
  <c r="L1416"/>
  <c r="L1415"/>
  <c r="L1414"/>
  <c r="L1413"/>
  <c r="L1412"/>
  <c r="L1411"/>
  <c r="L1410"/>
  <c r="L1409"/>
  <c r="L1408"/>
  <c r="L1399"/>
  <c r="L1398"/>
  <c r="L1397"/>
  <c r="L1396"/>
  <c r="L1395"/>
  <c r="L1394"/>
  <c r="L1393"/>
  <c r="L1392"/>
  <c r="L1391"/>
  <c r="L1390"/>
  <c r="L1389"/>
  <c r="L1388"/>
  <c r="L1387"/>
  <c r="L1386"/>
  <c r="L1385"/>
  <c r="L1384"/>
  <c r="L1383"/>
  <c r="L1382"/>
  <c r="L1381"/>
  <c r="L1380"/>
  <c r="L1371"/>
  <c r="L1370"/>
  <c r="L1369"/>
  <c r="L1368"/>
  <c r="L1367"/>
  <c r="L1366"/>
  <c r="L1365"/>
  <c r="L1364"/>
  <c r="L1363"/>
  <c r="L1353"/>
  <c r="L1352"/>
  <c r="L1351"/>
  <c r="L1350"/>
  <c r="L1349"/>
  <c r="L1348"/>
  <c r="L1347"/>
  <c r="L1346"/>
  <c r="L1345"/>
  <c r="L1344"/>
  <c r="L1343"/>
  <c r="L1342"/>
  <c r="L1341"/>
  <c r="L1340"/>
  <c r="L1339"/>
  <c r="L1338"/>
  <c r="L1337"/>
  <c r="L1336"/>
  <c r="L1335"/>
  <c r="L1334"/>
  <c r="L1333"/>
  <c r="L1332"/>
  <c r="L1331"/>
  <c r="L1330"/>
  <c r="L1329"/>
  <c r="L1328"/>
  <c r="L1327"/>
  <c r="L1316"/>
  <c r="L1315"/>
  <c r="L1314"/>
  <c r="L1313"/>
  <c r="L1312"/>
  <c r="L1311"/>
  <c r="L1310"/>
  <c r="L1309"/>
  <c r="L1308"/>
  <c r="L1307"/>
  <c r="L1306"/>
  <c r="L1305"/>
  <c r="L1304"/>
  <c r="L1303"/>
  <c r="L1293"/>
  <c r="L1292"/>
  <c r="L1291"/>
  <c r="L1290"/>
  <c r="L1289"/>
  <c r="L1288"/>
  <c r="L1287"/>
  <c r="L1286"/>
  <c r="L1285"/>
  <c r="L1284"/>
  <c r="L1283"/>
  <c r="L1282"/>
  <c r="L1271"/>
  <c r="L1270"/>
  <c r="L1269"/>
  <c r="L1268"/>
  <c r="L1267"/>
  <c r="L1266"/>
  <c r="L1265"/>
  <c r="L1264"/>
  <c r="L1263"/>
  <c r="L1262"/>
  <c r="L1261"/>
  <c r="L1260"/>
  <c r="L1252"/>
  <c r="L1251"/>
  <c r="L1250"/>
  <c r="L1249"/>
  <c r="L1248"/>
  <c r="L1247"/>
  <c r="L1246"/>
  <c r="L1245"/>
  <c r="L1244"/>
  <c r="L1243"/>
  <c r="L1242"/>
  <c r="L1241"/>
  <c r="L1240"/>
  <c r="L1239"/>
  <c r="L1238"/>
  <c r="L1237"/>
  <c r="L1236"/>
  <c r="L1235"/>
  <c r="L1234"/>
  <c r="L1233"/>
  <c r="L1232"/>
  <c r="L1231"/>
  <c r="L1230"/>
  <c r="L1229"/>
  <c r="L1228"/>
  <c r="L1227"/>
  <c r="L1226"/>
  <c r="L1225"/>
  <c r="L1224"/>
  <c r="L1223"/>
  <c r="L1222"/>
  <c r="L1207"/>
  <c r="L1206"/>
  <c r="L1205"/>
  <c r="L1204"/>
  <c r="L1203"/>
  <c r="L1202"/>
  <c r="L1201"/>
  <c r="L1200"/>
  <c r="L1199"/>
  <c r="L1198"/>
  <c r="L1197"/>
  <c r="L1196"/>
  <c r="L1195"/>
  <c r="L1183"/>
  <c r="L1182"/>
  <c r="L1181"/>
  <c r="L1180"/>
  <c r="L1179"/>
  <c r="L1178"/>
  <c r="L1177"/>
  <c r="L1176"/>
  <c r="L1175"/>
  <c r="L1174"/>
  <c r="L1173"/>
  <c r="L1172"/>
  <c r="L1171"/>
  <c r="L1170"/>
  <c r="L1169"/>
  <c r="L1168"/>
  <c r="L1167"/>
  <c r="L1166"/>
  <c r="L1165"/>
  <c r="L1164"/>
  <c r="L1154"/>
  <c r="L1153"/>
  <c r="L1152"/>
  <c r="L1151"/>
  <c r="L1150"/>
  <c r="L1149"/>
  <c r="L1148"/>
  <c r="L1147"/>
  <c r="L1146"/>
  <c r="L1145"/>
  <c r="L1144"/>
  <c r="L1143"/>
  <c r="L1142"/>
  <c r="L1141"/>
  <c r="L1140"/>
  <c r="L1139"/>
  <c r="L1138"/>
  <c r="L1137"/>
  <c r="L1136"/>
  <c r="L1135"/>
  <c r="L1134"/>
  <c r="L1133"/>
  <c r="L1132"/>
  <c r="L1125"/>
  <c r="L1124"/>
  <c r="L1123"/>
  <c r="L1122"/>
  <c r="L1121"/>
  <c r="L1120"/>
  <c r="L1119"/>
  <c r="L1118"/>
  <c r="L1117"/>
  <c r="L1116"/>
  <c r="L1115"/>
  <c r="L1114"/>
  <c r="L1113"/>
  <c r="L1112"/>
  <c r="L1111"/>
  <c r="L1110"/>
  <c r="L1109"/>
  <c r="L1108"/>
  <c r="L1107"/>
  <c r="L1106"/>
  <c r="L1105"/>
  <c r="L1104"/>
  <c r="L1103"/>
  <c r="L1102"/>
  <c r="L1101"/>
  <c r="L1100"/>
  <c r="L1099"/>
  <c r="L1098"/>
  <c r="L1097"/>
  <c r="L1096"/>
  <c r="L1095"/>
  <c r="L1094"/>
  <c r="L1093"/>
  <c r="L1092"/>
  <c r="L1091"/>
  <c r="L1090"/>
  <c r="L1089"/>
  <c r="L1088"/>
  <c r="L1087"/>
  <c r="L1086"/>
  <c r="L1085"/>
  <c r="L1084"/>
  <c r="L1083"/>
  <c r="L1082"/>
  <c r="L1081"/>
  <c r="L1080"/>
  <c r="L1079"/>
  <c r="L1078"/>
  <c r="L1077"/>
  <c r="L1076"/>
  <c r="L1075"/>
  <c r="L1074"/>
  <c r="L1073"/>
  <c r="L1072"/>
  <c r="L1071"/>
  <c r="L1070"/>
  <c r="L1069"/>
  <c r="L1068"/>
  <c r="L1067"/>
  <c r="L1066"/>
  <c r="L1065"/>
  <c r="L1064"/>
  <c r="L1055"/>
  <c r="L1054"/>
  <c r="L1053"/>
  <c r="L1052"/>
  <c r="L1051"/>
  <c r="L1050"/>
  <c r="L1049"/>
  <c r="L1048"/>
  <c r="L1047"/>
  <c r="L1046"/>
  <c r="L1045"/>
  <c r="L1044"/>
  <c r="L1043"/>
  <c r="L1042"/>
  <c r="L1041"/>
  <c r="L1040"/>
  <c r="L1039"/>
  <c r="L1038"/>
  <c r="L1037"/>
  <c r="L1036"/>
  <c r="L1035"/>
  <c r="L1034"/>
  <c r="L1033"/>
  <c r="L1032"/>
  <c r="L1021"/>
  <c r="L1020"/>
  <c r="L1019"/>
  <c r="L1018"/>
  <c r="L1017"/>
  <c r="L1007"/>
  <c r="L1006"/>
  <c r="L998"/>
  <c r="L997"/>
  <c r="L996"/>
  <c r="L995"/>
  <c r="L994"/>
  <c r="L993"/>
  <c r="L992"/>
  <c r="L991"/>
  <c r="L990"/>
  <c r="L989"/>
  <c r="L981"/>
  <c r="L980"/>
  <c r="L979"/>
  <c r="L978"/>
  <c r="L977"/>
  <c r="L976"/>
  <c r="L975"/>
  <c r="L974"/>
  <c r="L973"/>
  <c r="L972"/>
  <c r="L971"/>
  <c r="L970"/>
  <c r="L969"/>
  <c r="L968"/>
  <c r="L967"/>
  <c r="L966"/>
  <c r="L965"/>
  <c r="L964"/>
  <c r="L963"/>
  <c r="L962"/>
  <c r="L961"/>
  <c r="L960"/>
  <c r="L959"/>
  <c r="L958"/>
  <c r="L957"/>
  <c r="L956"/>
  <c r="L955"/>
  <c r="L946"/>
  <c r="L945"/>
  <c r="L944"/>
  <c r="L943"/>
  <c r="L942"/>
  <c r="L941"/>
  <c r="L940"/>
  <c r="L939"/>
  <c r="L938"/>
  <c r="L937"/>
  <c r="L936"/>
  <c r="L935"/>
  <c r="L934"/>
  <c r="L933"/>
  <c r="L924"/>
  <c r="L923"/>
  <c r="L922"/>
  <c r="L921"/>
  <c r="L920"/>
  <c r="L919"/>
  <c r="L918"/>
  <c r="L917"/>
  <c r="L916"/>
  <c r="L915"/>
  <c r="L914"/>
  <c r="L913"/>
  <c r="L912"/>
  <c r="L911"/>
  <c r="L910"/>
  <c r="L909"/>
  <c r="L908"/>
  <c r="L900"/>
  <c r="L899"/>
  <c r="L898"/>
  <c r="L897"/>
  <c r="L896"/>
  <c r="L895"/>
  <c r="L894"/>
  <c r="L893"/>
  <c r="L892"/>
  <c r="L891"/>
  <c r="L890"/>
  <c r="L889"/>
  <c r="L888"/>
  <c r="L887"/>
  <c r="L886"/>
  <c r="L885"/>
  <c r="L884"/>
  <c r="L883"/>
  <c r="L882"/>
  <c r="L881"/>
  <c r="L880"/>
  <c r="L879"/>
  <c r="L878"/>
  <c r="L877"/>
  <c r="L868"/>
  <c r="L867"/>
  <c r="L866"/>
  <c r="L865"/>
  <c r="L864"/>
  <c r="L863"/>
  <c r="L862"/>
  <c r="L861"/>
  <c r="L860"/>
  <c r="L859"/>
  <c r="L858"/>
  <c r="L857"/>
  <c r="L856"/>
  <c r="L855"/>
  <c r="L846"/>
  <c r="L845"/>
  <c r="L844"/>
  <c r="L843"/>
  <c r="L842"/>
  <c r="L841"/>
  <c r="L840"/>
  <c r="L839"/>
  <c r="L838"/>
  <c r="L837"/>
  <c r="L836"/>
  <c r="L835"/>
  <c r="L834"/>
  <c r="L833"/>
  <c r="L832"/>
  <c r="L831"/>
  <c r="L830"/>
  <c r="L829"/>
  <c r="L828"/>
  <c r="L827"/>
  <c r="L826"/>
  <c r="L825"/>
  <c r="L824"/>
  <c r="L823"/>
  <c r="L822"/>
  <c r="L821"/>
  <c r="L820"/>
  <c r="L819"/>
  <c r="L818"/>
  <c r="L817"/>
  <c r="L816"/>
  <c r="L815"/>
  <c r="L814"/>
  <c r="L813"/>
  <c r="L812"/>
  <c r="L800"/>
  <c r="L799"/>
  <c r="L798"/>
  <c r="L797"/>
  <c r="L796"/>
  <c r="L795"/>
  <c r="L785"/>
  <c r="L784"/>
  <c r="L783"/>
  <c r="L782"/>
  <c r="L781"/>
  <c r="L780"/>
  <c r="L779"/>
  <c r="L768"/>
  <c r="L767"/>
  <c r="L766"/>
  <c r="L765"/>
  <c r="L764"/>
  <c r="L763"/>
  <c r="L762"/>
  <c r="L761"/>
  <c r="L760"/>
  <c r="L759"/>
  <c r="L758"/>
  <c r="L757"/>
  <c r="L756"/>
  <c r="L755"/>
  <c r="L754"/>
  <c r="L744"/>
  <c r="L743"/>
  <c r="L742"/>
  <c r="L741"/>
  <c r="L740"/>
  <c r="L739"/>
  <c r="L738"/>
  <c r="L737"/>
  <c r="L736"/>
  <c r="L735"/>
  <c r="L734"/>
  <c r="L733"/>
  <c r="L732"/>
  <c r="L731"/>
  <c r="L730"/>
  <c r="L729"/>
  <c r="L728"/>
  <c r="L727"/>
  <c r="L726"/>
  <c r="L725"/>
  <c r="L724"/>
  <c r="L723"/>
  <c r="L722"/>
  <c r="L721"/>
  <c r="L713"/>
  <c r="L712"/>
  <c r="L711"/>
  <c r="L710"/>
  <c r="L709"/>
  <c r="L708"/>
  <c r="L707"/>
  <c r="L706"/>
  <c r="L705"/>
  <c r="L704"/>
  <c r="L703"/>
  <c r="L702"/>
  <c r="L701"/>
  <c r="L700"/>
  <c r="L699"/>
  <c r="L690"/>
  <c r="L689"/>
  <c r="L688"/>
  <c r="L687"/>
  <c r="L686"/>
  <c r="L685"/>
  <c r="L684"/>
  <c r="L683"/>
  <c r="L682"/>
  <c r="L681"/>
  <c r="L680"/>
  <c r="L679"/>
  <c r="L678"/>
  <c r="L677"/>
  <c r="L676"/>
  <c r="L675"/>
  <c r="L674"/>
  <c r="L673"/>
  <c r="L672"/>
  <c r="L671"/>
  <c r="O661"/>
  <c r="L660"/>
  <c r="L659"/>
  <c r="L658"/>
  <c r="L657"/>
  <c r="L656"/>
  <c r="L655"/>
  <c r="L654"/>
  <c r="L653"/>
  <c r="L652"/>
  <c r="L651"/>
  <c r="L650"/>
  <c r="L649"/>
  <c r="L637"/>
  <c r="L636"/>
  <c r="L635"/>
  <c r="L634"/>
  <c r="L633"/>
  <c r="L632"/>
  <c r="L631"/>
  <c r="L630"/>
  <c r="L629"/>
  <c r="L628"/>
  <c r="L627"/>
  <c r="L626"/>
  <c r="L616"/>
  <c r="L615"/>
  <c r="L614"/>
  <c r="L613"/>
  <c r="L612"/>
  <c r="L611"/>
  <c r="L610"/>
  <c r="L609"/>
  <c r="L608"/>
  <c r="L607"/>
  <c r="L606"/>
  <c r="L605"/>
  <c r="L604"/>
  <c r="L597"/>
  <c r="L596"/>
  <c r="L595"/>
  <c r="L594"/>
  <c r="L593"/>
  <c r="L592"/>
  <c r="L591"/>
  <c r="L590"/>
  <c r="L589"/>
  <c r="L588"/>
  <c r="L587"/>
  <c r="L579"/>
  <c r="L578"/>
  <c r="L577"/>
  <c r="L576"/>
  <c r="L575"/>
  <c r="L574"/>
  <c r="L573"/>
  <c r="L572"/>
  <c r="L571"/>
  <c r="L570"/>
  <c r="L569"/>
  <c r="L568"/>
  <c r="L567"/>
  <c r="L566"/>
  <c r="L565"/>
  <c r="L564"/>
  <c r="L563"/>
  <c r="L562"/>
  <c r="L561"/>
  <c r="L560"/>
  <c r="L551"/>
  <c r="B532"/>
  <c r="B533" s="1"/>
  <c r="B534" s="1"/>
  <c r="B535" s="1"/>
  <c r="B536" s="1"/>
  <c r="B537" s="1"/>
  <c r="B538" s="1"/>
  <c r="B539" s="1"/>
  <c r="B540" s="1"/>
  <c r="B541" s="1"/>
  <c r="B542" s="1"/>
  <c r="B543" s="1"/>
  <c r="B544" s="1"/>
  <c r="B545" s="1"/>
  <c r="B546" s="1"/>
  <c r="B547" s="1"/>
  <c r="B548" s="1"/>
  <c r="B549" s="1"/>
  <c r="B550" s="1"/>
  <c r="B551" s="1"/>
  <c r="A532"/>
  <c r="A533" s="1"/>
  <c r="A534" s="1"/>
  <c r="A535" s="1"/>
  <c r="A536" s="1"/>
  <c r="A537" s="1"/>
  <c r="A538" s="1"/>
  <c r="A539" s="1"/>
  <c r="A540" s="1"/>
  <c r="A541" s="1"/>
  <c r="A542" s="1"/>
  <c r="A543" s="1"/>
  <c r="A544" s="1"/>
  <c r="A545" s="1"/>
  <c r="A546" s="1"/>
  <c r="A547" s="1"/>
  <c r="A548" s="1"/>
  <c r="A549" s="1"/>
  <c r="A550" s="1"/>
  <c r="A551" s="1"/>
  <c r="L550"/>
  <c r="L549"/>
  <c r="L548"/>
  <c r="L547"/>
  <c r="L546"/>
  <c r="L545"/>
  <c r="L544"/>
  <c r="L543"/>
  <c r="L542"/>
  <c r="L541"/>
  <c r="L540"/>
  <c r="L539"/>
  <c r="L538"/>
  <c r="L537"/>
  <c r="L536"/>
  <c r="L535"/>
  <c r="L534"/>
  <c r="L533"/>
  <c r="L532"/>
  <c r="L531"/>
  <c r="L524"/>
  <c r="L523"/>
  <c r="L522"/>
  <c r="L521"/>
  <c r="L520"/>
  <c r="L519"/>
  <c r="L518"/>
  <c r="L517"/>
  <c r="L516"/>
  <c r="L515"/>
  <c r="L514"/>
  <c r="L513"/>
  <c r="L512"/>
  <c r="L511"/>
  <c r="L510"/>
  <c r="L509"/>
  <c r="L508"/>
  <c r="K501"/>
  <c r="K500"/>
  <c r="K499"/>
  <c r="K498"/>
  <c r="K497"/>
  <c r="K496"/>
  <c r="K495"/>
  <c r="K494"/>
  <c r="K493"/>
  <c r="K492"/>
  <c r="K491"/>
  <c r="K490"/>
  <c r="K489"/>
  <c r="K488"/>
  <c r="K487"/>
  <c r="K486"/>
  <c r="K485"/>
  <c r="K484"/>
  <c r="K483"/>
  <c r="K482"/>
  <c r="L471"/>
  <c r="L470"/>
  <c r="L469"/>
  <c r="L468"/>
  <c r="L467"/>
  <c r="L466"/>
  <c r="L465"/>
  <c r="L464"/>
  <c r="L463"/>
  <c r="L462"/>
  <c r="L461"/>
  <c r="L460"/>
  <c r="L459"/>
  <c r="L458"/>
  <c r="L457"/>
  <c r="L456"/>
  <c r="L455"/>
  <c r="L454"/>
  <c r="L453"/>
  <c r="L452"/>
  <c r="L451"/>
  <c r="L450"/>
  <c r="L449"/>
  <c r="L448"/>
  <c r="L447"/>
  <c r="L446"/>
  <c r="L445"/>
  <c r="L444"/>
  <c r="L443"/>
  <c r="L442"/>
  <c r="L433"/>
  <c r="L432"/>
  <c r="L431"/>
  <c r="L430"/>
  <c r="L429"/>
  <c r="L428"/>
  <c r="L427"/>
  <c r="L426"/>
  <c r="L425"/>
  <c r="L424"/>
  <c r="L423"/>
  <c r="L422"/>
  <c r="L421"/>
  <c r="L420"/>
  <c r="L419"/>
  <c r="L418"/>
  <c r="L417"/>
  <c r="L416"/>
  <c r="L415"/>
  <c r="L414"/>
  <c r="L413"/>
  <c r="L412"/>
  <c r="L411"/>
  <c r="L410"/>
  <c r="L409"/>
  <c r="L408"/>
  <c r="L407"/>
  <c r="L406"/>
  <c r="L405"/>
  <c r="L404"/>
  <c r="L403"/>
  <c r="L402"/>
  <c r="L401"/>
  <c r="L400"/>
  <c r="L399"/>
  <c r="L398"/>
  <c r="L397"/>
  <c r="L396"/>
  <c r="L395"/>
  <c r="L394"/>
  <c r="L393"/>
  <c r="L392"/>
  <c r="L391"/>
  <c r="L390"/>
  <c r="L389"/>
  <c r="L388"/>
  <c r="L387"/>
  <c r="L374"/>
  <c r="L373"/>
  <c r="L372"/>
  <c r="L371"/>
  <c r="L370"/>
  <c r="L369"/>
  <c r="L368"/>
  <c r="L367"/>
  <c r="L366"/>
  <c r="L365"/>
  <c r="L364"/>
  <c r="L363"/>
  <c r="L362"/>
  <c r="L361"/>
  <c r="L360"/>
  <c r="L359"/>
  <c r="L358"/>
  <c r="L357"/>
  <c r="L356"/>
  <c r="L355"/>
  <c r="L354"/>
  <c r="L353"/>
  <c r="L352"/>
  <c r="L351"/>
  <c r="L350"/>
  <c r="L349"/>
  <c r="L348"/>
  <c r="L347"/>
  <c r="L346"/>
  <c r="L345"/>
  <c r="L344"/>
  <c r="L343"/>
  <c r="L342"/>
  <c r="L341"/>
  <c r="L340"/>
  <c r="L339"/>
  <c r="L338"/>
  <c r="L337"/>
  <c r="L336"/>
  <c r="L324"/>
  <c r="L323"/>
  <c r="L322"/>
  <c r="L321"/>
  <c r="L320"/>
  <c r="L312"/>
  <c r="L311"/>
  <c r="L310"/>
  <c r="L309"/>
  <c r="L308"/>
  <c r="L307"/>
  <c r="L306"/>
  <c r="L305"/>
  <c r="L304"/>
  <c r="L303"/>
  <c r="L302"/>
  <c r="L301"/>
  <c r="L300"/>
  <c r="L299"/>
  <c r="L298"/>
  <c r="L297"/>
  <c r="L296"/>
  <c r="L295"/>
  <c r="L294"/>
  <c r="L293"/>
  <c r="L292"/>
  <c r="L291"/>
  <c r="L290"/>
  <c r="L289"/>
  <c r="L288"/>
  <c r="L287"/>
  <c r="L286"/>
  <c r="L285"/>
  <c r="L284"/>
  <c r="L283"/>
  <c r="L282"/>
  <c r="L281"/>
  <c r="L280"/>
  <c r="L279"/>
  <c r="L278"/>
  <c r="L277"/>
  <c r="L276"/>
  <c r="L275"/>
  <c r="L274"/>
  <c r="L273"/>
  <c r="L272"/>
  <c r="L271"/>
  <c r="L270"/>
  <c r="L269"/>
  <c r="L268"/>
  <c r="L267"/>
  <c r="L266"/>
  <c r="L265"/>
  <c r="L264"/>
  <c r="L263"/>
  <c r="L262"/>
  <c r="L261"/>
  <c r="L260"/>
  <c r="L259"/>
  <c r="L258"/>
  <c r="L257"/>
  <c r="L256"/>
  <c r="L255"/>
  <c r="L254"/>
  <c r="L253"/>
  <c r="U244"/>
  <c r="T244"/>
  <c r="L244"/>
  <c r="U243"/>
  <c r="T243"/>
  <c r="L243"/>
  <c r="U242"/>
  <c r="T242"/>
  <c r="L242"/>
  <c r="U241"/>
  <c r="T241"/>
  <c r="L241"/>
  <c r="U240"/>
  <c r="T240"/>
  <c r="L240"/>
  <c r="U239"/>
  <c r="T239"/>
  <c r="L239"/>
  <c r="U238"/>
  <c r="T238"/>
  <c r="L238"/>
  <c r="U237"/>
  <c r="T237"/>
  <c r="L237"/>
  <c r="U236"/>
  <c r="T236"/>
  <c r="L236"/>
  <c r="U235"/>
  <c r="T235"/>
  <c r="L235"/>
  <c r="U234"/>
  <c r="T234"/>
  <c r="L234"/>
  <c r="U233"/>
  <c r="T233"/>
  <c r="L233"/>
  <c r="U232"/>
  <c r="T232"/>
  <c r="L232"/>
  <c r="U231"/>
  <c r="T231"/>
  <c r="L231"/>
  <c r="U230"/>
  <c r="T230"/>
  <c r="L230"/>
  <c r="U229"/>
  <c r="T229"/>
  <c r="L229"/>
  <c r="U228"/>
  <c r="T228"/>
  <c r="L228"/>
  <c r="U227"/>
  <c r="T227"/>
  <c r="L227"/>
  <c r="U226"/>
  <c r="T226"/>
  <c r="L226"/>
  <c r="U225"/>
  <c r="T225"/>
  <c r="L225"/>
  <c r="U224"/>
  <c r="T224"/>
  <c r="L224"/>
  <c r="U223"/>
  <c r="T223"/>
  <c r="L223"/>
  <c r="U222"/>
  <c r="T222"/>
  <c r="L222"/>
  <c r="U221"/>
  <c r="T221"/>
  <c r="L221"/>
  <c r="U220"/>
  <c r="T220"/>
  <c r="L220"/>
  <c r="U219"/>
  <c r="T219"/>
  <c r="L219"/>
  <c r="U218"/>
  <c r="T218"/>
  <c r="L218"/>
  <c r="U217"/>
  <c r="T217"/>
  <c r="L217"/>
  <c r="U216"/>
  <c r="T216"/>
  <c r="L216"/>
  <c r="U215"/>
  <c r="T215"/>
  <c r="L215"/>
  <c r="U214"/>
  <c r="T214"/>
  <c r="L214"/>
  <c r="U213"/>
  <c r="T213"/>
  <c r="L213"/>
  <c r="U212"/>
  <c r="T212"/>
  <c r="L212"/>
  <c r="U211"/>
  <c r="T211"/>
  <c r="L211"/>
  <c r="U210"/>
  <c r="T210"/>
  <c r="L210"/>
  <c r="U209"/>
  <c r="T209"/>
  <c r="L209"/>
  <c r="L201"/>
  <c r="L200"/>
  <c r="L199"/>
  <c r="L198"/>
  <c r="L197"/>
  <c r="L196"/>
  <c r="L195"/>
  <c r="L194"/>
  <c r="L193"/>
  <c r="L192"/>
  <c r="L191"/>
  <c r="L190"/>
  <c r="L189"/>
  <c r="L188"/>
  <c r="L187"/>
  <c r="L186"/>
  <c r="L185"/>
  <c r="L184"/>
  <c r="L183"/>
  <c r="L182"/>
  <c r="L181"/>
  <c r="L180"/>
  <c r="L179"/>
  <c r="L178"/>
  <c r="L177"/>
  <c r="L176"/>
  <c r="L175"/>
  <c r="L174"/>
  <c r="L173"/>
  <c r="L172"/>
  <c r="L164"/>
  <c r="L163"/>
  <c r="L162"/>
  <c r="L161"/>
  <c r="L160"/>
  <c r="L159"/>
  <c r="L158"/>
  <c r="L157"/>
  <c r="L156"/>
  <c r="L155"/>
  <c r="L154"/>
  <c r="L153"/>
  <c r="L152"/>
  <c r="L151"/>
  <c r="L150"/>
  <c r="L149"/>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100"/>
  <c r="L99"/>
  <c r="L90"/>
  <c r="L89"/>
  <c r="L88"/>
  <c r="L87"/>
  <c r="L86"/>
  <c r="L85"/>
  <c r="L84"/>
  <c r="L83"/>
  <c r="L82"/>
  <c r="L81"/>
  <c r="L80"/>
  <c r="L79"/>
  <c r="L78"/>
  <c r="L77"/>
  <c r="L76"/>
  <c r="L75"/>
  <c r="L74"/>
  <c r="L73"/>
  <c r="L72"/>
  <c r="L71"/>
  <c r="L70"/>
  <c r="L69"/>
  <c r="L68"/>
  <c r="L67"/>
  <c r="L59"/>
  <c r="L58"/>
  <c r="L57"/>
  <c r="L56"/>
  <c r="L55"/>
  <c r="L54"/>
  <c r="L53"/>
  <c r="L52"/>
  <c r="L51"/>
  <c r="L50"/>
  <c r="L49"/>
  <c r="L48"/>
  <c r="L47"/>
  <c r="L46"/>
  <c r="L45"/>
  <c r="L44"/>
  <c r="L43"/>
  <c r="L35"/>
  <c r="L34"/>
  <c r="L33"/>
  <c r="L32"/>
  <c r="L31"/>
  <c r="L30"/>
  <c r="L29"/>
  <c r="L28"/>
  <c r="L27"/>
  <c r="L26"/>
  <c r="L25"/>
  <c r="L24"/>
  <c r="L23"/>
  <c r="L13"/>
  <c r="L12"/>
  <c r="L11"/>
  <c r="L10"/>
  <c r="L9"/>
  <c r="L8"/>
  <c r="C235" i="2"/>
  <c r="C249"/>
  <c r="C189"/>
  <c r="D1462" i="1"/>
  <c r="C207" i="2"/>
  <c r="C158"/>
  <c r="C200"/>
  <c r="C136"/>
  <c r="C256"/>
  <c r="C178"/>
  <c r="C144"/>
  <c r="H60" i="1" l="1"/>
  <c r="H245"/>
  <c r="H434"/>
  <c r="H525"/>
  <c r="H580"/>
  <c r="H714"/>
  <c r="H769"/>
  <c r="H801"/>
  <c r="H925"/>
  <c r="H1008"/>
  <c r="H1208"/>
  <c r="K947"/>
  <c r="H14"/>
  <c r="H91"/>
  <c r="H165"/>
  <c r="H375"/>
  <c r="H472"/>
  <c r="H552"/>
  <c r="H661"/>
  <c r="H786"/>
  <c r="H869"/>
  <c r="H947"/>
  <c r="H1126"/>
  <c r="H1253"/>
  <c r="H1317"/>
  <c r="K801"/>
  <c r="H142"/>
  <c r="H313"/>
  <c r="H325"/>
  <c r="H638"/>
  <c r="H847"/>
  <c r="H36"/>
  <c r="H617"/>
  <c r="D1461" s="1"/>
  <c r="K1462"/>
  <c r="K1463" s="1"/>
  <c r="H266" i="2"/>
</calcChain>
</file>

<file path=xl/sharedStrings.xml><?xml version="1.0" encoding="utf-8"?>
<sst xmlns="http://schemas.openxmlformats.org/spreadsheetml/2006/main" count="15713" uniqueCount="4769">
  <si>
    <t>DANH MỤC HÀNG TRÚNG THẦU THÁNG 8-2016  ĐẾN THÁNG 8-2017</t>
  </si>
  <si>
    <r>
      <t>GÓI THẦU SỐ 01:  VẬT TƯ HO</t>
    </r>
    <r>
      <rPr>
        <b/>
        <sz val="8"/>
        <color rgb="FFFF0000"/>
        <rFont val="Times New Roman"/>
        <family val="1"/>
      </rPr>
      <t>Á CHẤT Y TẾ CHUYÊN DỤNG</t>
    </r>
  </si>
  <si>
    <t>(Kèm theo Quyết định số:          /QĐ-BV, ngày    tháng 08 năm 2016)</t>
  </si>
  <si>
    <t>LÔ HÀNG SỐ 1</t>
  </si>
  <si>
    <t>Biểu 1 B</t>
  </si>
  <si>
    <t>TTGT</t>
  </si>
  <si>
    <t>TTLH</t>
  </si>
  <si>
    <t>Tên hàng hoá</t>
  </si>
  <si>
    <t>Quy cách đóng gói cái/ kiện</t>
  </si>
  <si>
    <t xml:space="preserve">Đơn vị tính </t>
  </si>
  <si>
    <t>Trúng thầu</t>
  </si>
  <si>
    <t>Kế hoạch</t>
  </si>
  <si>
    <t>So sánh giá KH với TT</t>
  </si>
  <si>
    <t>Nhà thầu</t>
  </si>
  <si>
    <t>Số lượng</t>
  </si>
  <si>
    <t>Đơn giá ( VNĐ) trọn gói đã có VAT</t>
  </si>
  <si>
    <t>Thành tiền trọn gói</t>
  </si>
  <si>
    <t>Hãng nước sản xuất</t>
  </si>
  <si>
    <t>Mã sản phẩm</t>
  </si>
  <si>
    <t>Số tem trên 1 đơn vị sản phẩm</t>
  </si>
  <si>
    <t>Bơm tiêm nhựa 1 ml</t>
  </si>
  <si>
    <t>4200c/1kiện</t>
  </si>
  <si>
    <t xml:space="preserve">Cái </t>
  </si>
  <si>
    <t>Mediplast-Việt Nam</t>
  </si>
  <si>
    <t>05BT012613SP</t>
  </si>
  <si>
    <t>Công ty cổ phần Nhựa Y tê Mediplast</t>
  </si>
  <si>
    <t>Bơm tiêm nhựa 3ml</t>
  </si>
  <si>
    <t>3000c/1kiện</t>
  </si>
  <si>
    <t>05BT032525SP</t>
  </si>
  <si>
    <t>Bơm tiêm nhựa 5ml</t>
  </si>
  <si>
    <t>2000c/1kiện</t>
  </si>
  <si>
    <t>05BT052515SP</t>
  </si>
  <si>
    <t>Bơm tiêm nhựa 10ml</t>
  </si>
  <si>
    <t>1200c/1kiện</t>
  </si>
  <si>
    <t>05BT102525SP</t>
  </si>
  <si>
    <t>Bơm tiêm nhựa 20ml</t>
  </si>
  <si>
    <t>800c/1kiện</t>
  </si>
  <si>
    <t>05BT202325SPS</t>
  </si>
  <si>
    <t xml:space="preserve">                                          </t>
  </si>
  <si>
    <t>Bơm tiêm nhựa 50ml</t>
  </si>
  <si>
    <t>400c/1kiện</t>
  </si>
  <si>
    <t>05BT50SPCA</t>
  </si>
  <si>
    <t>Tổng giá gói thầu cả VAT</t>
  </si>
  <si>
    <t>Tổng tiền bằng chữ: Bốn tỷ, sáu trăm chín mươi triệu, năm trăm sáu mươi nghìn đồng chẵn</t>
  </si>
  <si>
    <t>LÔ HÀNG SỐ 2</t>
  </si>
  <si>
    <t xml:space="preserve"> Kim bướm  </t>
  </si>
  <si>
    <t>túi 200 cái</t>
  </si>
  <si>
    <t>Cái</t>
  </si>
  <si>
    <t>Kawa - Nhật SX tại TQ</t>
  </si>
  <si>
    <t>KB02</t>
  </si>
  <si>
    <t>Công ty TNHH Lê Lợi</t>
  </si>
  <si>
    <t xml:space="preserve"> Kim châm cứu các cỡ số </t>
  </si>
  <si>
    <t>vỉ 10 cái</t>
  </si>
  <si>
    <t>Tianxie-Trung Quốc</t>
  </si>
  <si>
    <t>KCC01</t>
  </si>
  <si>
    <t xml:space="preserve"> Kim khâu ruột  </t>
  </si>
  <si>
    <t>BSV-Tiệp</t>
  </si>
  <si>
    <t>KKT01</t>
  </si>
  <si>
    <t xml:space="preserve"> Kim phẫu thuật các số  </t>
  </si>
  <si>
    <t xml:space="preserve"> Sonde chữ T (Kerh) </t>
  </si>
  <si>
    <t>túi 1 cái</t>
  </si>
  <si>
    <t>Greetmed - TQ</t>
  </si>
  <si>
    <t>SCT</t>
  </si>
  <si>
    <t xml:space="preserve"> Sonde dạ dày các cỡ </t>
  </si>
  <si>
    <t>Hoàng sơn- Việt Nam</t>
  </si>
  <si>
    <t>SDDS01</t>
  </si>
  <si>
    <t xml:space="preserve"> Sonde hút dịch  </t>
  </si>
  <si>
    <t>túi 10 cái</t>
  </si>
  <si>
    <t>SHD01</t>
  </si>
  <si>
    <t xml:space="preserve"> Sonde Nelaton (ôxi)   </t>
  </si>
  <si>
    <t>túi 20 cái</t>
  </si>
  <si>
    <t>SNNT</t>
  </si>
  <si>
    <t xml:space="preserve"> Sonde Petze </t>
  </si>
  <si>
    <t>SBZ</t>
  </si>
  <si>
    <t xml:space="preserve"> Sonde Foley 2 nhánh  </t>
  </si>
  <si>
    <t>hộp 10 cái</t>
  </si>
  <si>
    <t>Urotechnology-Malaysia</t>
  </si>
  <si>
    <t>SF2NNL</t>
  </si>
  <si>
    <t xml:space="preserve"> Sonde Foley 3 nhánh  </t>
  </si>
  <si>
    <t>SF3N</t>
  </si>
  <si>
    <t xml:space="preserve"> Sonde Ristan các số </t>
  </si>
  <si>
    <t>SHMN</t>
  </si>
  <si>
    <t xml:space="preserve"> Sonde dẫn lưu Silicon 30Fr x 400mm </t>
  </si>
  <si>
    <t>Growth Forte-Việt Nam</t>
  </si>
  <si>
    <t>SDLS</t>
  </si>
  <si>
    <t>Cộng lô 2:</t>
  </si>
  <si>
    <t>Bằng chữ: Năm trăm chín mươi ba triệu chín trăm năm mươi ba ngàn năm trăm đồng.</t>
  </si>
  <si>
    <t>LÔ HÀNG SỐ 3</t>
  </si>
  <si>
    <t>Đầu thử đường huyết</t>
  </si>
  <si>
    <t>30 cái/ hộp</t>
  </si>
  <si>
    <t>Nipro - Mỹ</t>
  </si>
  <si>
    <t>True result</t>
  </si>
  <si>
    <t>PP1676INT</t>
  </si>
  <si>
    <t xml:space="preserve">Công ty Cổ phần Armephaco </t>
  </si>
  <si>
    <t>Đầu nối đơn</t>
  </si>
  <si>
    <t>1 cái/ túi</t>
  </si>
  <si>
    <t>Bicakcilar - Thổ Nhĩ Kỳ</t>
  </si>
  <si>
    <t>B725025</t>
  </si>
  <si>
    <t>B81059</t>
  </si>
  <si>
    <t>Dây ba chạc an toàn</t>
  </si>
  <si>
    <t>SD95025</t>
  </si>
  <si>
    <t>Dây lưu kim luồn</t>
  </si>
  <si>
    <t>T825-</t>
  </si>
  <si>
    <t>Dây truyền máu</t>
  </si>
  <si>
    <t>50 cái/ hộp</t>
  </si>
  <si>
    <t>Vogt - Đức</t>
  </si>
  <si>
    <t>Vogt 250</t>
  </si>
  <si>
    <t>DT 08526</t>
  </si>
  <si>
    <t>Dây cho ăn sơ sinh 5Fr</t>
  </si>
  <si>
    <t>Covidien - Thái Lan</t>
  </si>
  <si>
    <t xml:space="preserve">Feeding Tube </t>
  </si>
  <si>
    <t>FD 5050</t>
  </si>
  <si>
    <t>Dây dẫn thuốc bơm tiêm điện</t>
  </si>
  <si>
    <t>Bicakilar 140</t>
  </si>
  <si>
    <t xml:space="preserve">Bicakilar </t>
  </si>
  <si>
    <t>Kim gây tê tủy sống</t>
  </si>
  <si>
    <t>Vogt 20,22,25,27</t>
  </si>
  <si>
    <t>Kim chọc hút tủy</t>
  </si>
  <si>
    <t>20 cái/ hộp</t>
  </si>
  <si>
    <t>Giangshu - Trung Quốc</t>
  </si>
  <si>
    <t>Giangshu</t>
  </si>
  <si>
    <t>GH 1750</t>
  </si>
  <si>
    <t>Kim đốc nhựa</t>
  </si>
  <si>
    <t>MPV - Việt Nam</t>
  </si>
  <si>
    <t>KT</t>
  </si>
  <si>
    <t>MPV 18G, 20G</t>
  </si>
  <si>
    <t>Kim bấm đường huyết</t>
  </si>
  <si>
    <t>25 cái/ hộp</t>
  </si>
  <si>
    <t>Amkay - Ấn Độ</t>
  </si>
  <si>
    <t>Blood lancet</t>
  </si>
  <si>
    <t>PL/0116</t>
  </si>
  <si>
    <t>Kim gây tê răng (tiêm răng)</t>
  </si>
  <si>
    <t>100 cái/ hộp</t>
  </si>
  <si>
    <t>Terumo - Nhật Bản</t>
  </si>
  <si>
    <t>Terumo dental</t>
  </si>
  <si>
    <t>Terumo 27G</t>
  </si>
  <si>
    <t>Kim luồn tĩnh mạch</t>
  </si>
  <si>
    <t>Herasia - Ấn Độ</t>
  </si>
  <si>
    <t>Healcath</t>
  </si>
  <si>
    <t>AW/PGS E7</t>
  </si>
  <si>
    <t>Túi máu đơn</t>
  </si>
  <si>
    <t>10 cái/ hộp</t>
  </si>
  <si>
    <t>Demoteck - CH Séc</t>
  </si>
  <si>
    <t>BBS020</t>
  </si>
  <si>
    <t>CPDA-1</t>
  </si>
  <si>
    <t>Túi máu ba 250ml,350ml</t>
  </si>
  <si>
    <t>4 cái/ hộp</t>
  </si>
  <si>
    <t>Kawasumi - Nhật Bản</t>
  </si>
  <si>
    <t>KBT/ KBD  250, 350</t>
  </si>
  <si>
    <t>CSM/ 16G/P/N/Z</t>
  </si>
  <si>
    <t>Túi máu bốn 250ml,350ml</t>
  </si>
  <si>
    <t>KBT/ KBD 250, 350</t>
  </si>
  <si>
    <t>Kim luồn tĩnh mạch trẻ Em</t>
  </si>
  <si>
    <t>IFB CR G001</t>
  </si>
  <si>
    <t>Tổng số 17 mặt hàng tham dự</t>
  </si>
  <si>
    <t>Bằng chữ: Sáu tỉ chín trăm năm mươi bảy triệu năm trăm nghìn đồng ./.</t>
  </si>
  <si>
    <t>LÔ HÀNG SỐ 4</t>
  </si>
  <si>
    <t>Kim chọc dò và kim gây tê tuỷ sống (các số)</t>
  </si>
  <si>
    <t>Hộp 25 cái</t>
  </si>
  <si>
    <t>B.Braun Nhật</t>
  </si>
  <si>
    <t>N03.03.010</t>
  </si>
  <si>
    <t>Công ty TNHH Thương Mại Kỹ Thuật VIMETECH</t>
  </si>
  <si>
    <t>Kim luồn tĩnh mạch an toàn  (các cỡ)</t>
  </si>
  <si>
    <t>Hộp 50 cái/thùng 200 cái</t>
  </si>
  <si>
    <t>Bbraun Malaysia</t>
  </si>
  <si>
    <t>N03.02.070</t>
  </si>
  <si>
    <t>Dây nối bơm tiêm điện 75cm, 140cm</t>
  </si>
  <si>
    <t>Hộp 50 cái</t>
  </si>
  <si>
    <t>Bbraun Việt nam</t>
  </si>
  <si>
    <t>N03.05.040</t>
  </si>
  <si>
    <t xml:space="preserve">Khoá 3 ngã không dây nối  </t>
  </si>
  <si>
    <t>Hộp 100 cái</t>
  </si>
  <si>
    <t>Bbraun Thụy Sỹ</t>
  </si>
  <si>
    <t>N03.05.060</t>
  </si>
  <si>
    <t>Khoá 3 ngã có dây nối 10cm</t>
  </si>
  <si>
    <t>Hộp 200 cái</t>
  </si>
  <si>
    <t>Dây truyền dịch an toàn</t>
  </si>
  <si>
    <t>Thùng 100 bộ</t>
  </si>
  <si>
    <t>bộ</t>
  </si>
  <si>
    <t>Bbraun Việt Nam</t>
  </si>
  <si>
    <t>N03.05.010</t>
  </si>
  <si>
    <t>CatheterTMTT 1 nòng (Certo 338)</t>
  </si>
  <si>
    <t>Hộp 10 cái</t>
  </si>
  <si>
    <t>Bbraun Đức</t>
  </si>
  <si>
    <t>N04.04.010</t>
  </si>
  <si>
    <t>Catheter TMTT 2 nòng số 7F 20 cm</t>
  </si>
  <si>
    <t>Catheter TMTT 2 nòng số 4F, 5F 8 cm</t>
  </si>
  <si>
    <t>Catheter TMTT 3 nòng số 5F 13 cm ( TE)</t>
  </si>
  <si>
    <t>Catheter TMTT  3 nòng số 7F 20 cm  (NL)</t>
  </si>
  <si>
    <t>Bộ gây tê ngoài màng cứng</t>
  </si>
  <si>
    <t>Kim gây tê đám rối thần kinh</t>
  </si>
  <si>
    <t>Dây truyền máu an toàn (không chứa DEHP)</t>
  </si>
  <si>
    <t>Bộ</t>
  </si>
  <si>
    <t>N03.05.030</t>
  </si>
  <si>
    <t xml:space="preserve">Ống sonde niệu quản cỡ 6.5 Fr; 7,5Fr </t>
  </si>
  <si>
    <t>1 Cái/Túi
10 Túi/Hộp</t>
  </si>
  <si>
    <t>DeVon
Ấn Độ</t>
  </si>
  <si>
    <t>N04.01.090</t>
  </si>
  <si>
    <t>Ống sonde nong niệu quản cỡ 7Fr</t>
  </si>
  <si>
    <t>Sonde JJ niệu quản (các số)</t>
  </si>
  <si>
    <t xml:space="preserve">Bóng đèn mổ Halogen không chóa 24V - 150W </t>
  </si>
  <si>
    <t>1 Cái/ Hộp</t>
  </si>
  <si>
    <t>OSRAM
Đức</t>
  </si>
  <si>
    <t>Bóng đèn Halogen có chóa 24V - 250W</t>
  </si>
  <si>
    <t>Bóng đèn Halogen có chóa 15V - 150W</t>
  </si>
  <si>
    <t xml:space="preserve">Lưu lượng kế + bình làm ẩm </t>
  </si>
  <si>
    <t>Hersill
Tây ban nha</t>
  </si>
  <si>
    <t>Đầu hút Pipet 0-200 µL</t>
  </si>
  <si>
    <t>1000 cái/túi</t>
  </si>
  <si>
    <t>cái</t>
  </si>
  <si>
    <t>Operson/TQ</t>
  </si>
  <si>
    <t>N08.00.190</t>
  </si>
  <si>
    <t>Đầu hút Pipet 0-1000 µL</t>
  </si>
  <si>
    <t>Pipet thẳng 2ml có chia vạch</t>
  </si>
  <si>
    <t>50 cái/hộp</t>
  </si>
  <si>
    <t>Cộng Lô số 4</t>
  </si>
  <si>
    <t>Ba tỷ bảy trăm tám mươi chín triệu một trăm sáu mươi ba ngàn đồng.</t>
  </si>
  <si>
    <t>LÔ HÀNG SỐ 5</t>
  </si>
  <si>
    <t xml:space="preserve"> Chỉ Catgut chromic 1/0 </t>
  </si>
  <si>
    <t>24 sợi/hộp</t>
  </si>
  <si>
    <t>Sợi</t>
  </si>
  <si>
    <t>CPT - Việt Nam</t>
  </si>
  <si>
    <t>C500</t>
  </si>
  <si>
    <t xml:space="preserve"> Chỉ line (250m/cuộn) </t>
  </si>
  <si>
    <t>10 cuộn/hộp</t>
  </si>
  <si>
    <t>Mét</t>
  </si>
  <si>
    <t>DMC - Pháp</t>
  </si>
  <si>
    <t>DMC Line suture</t>
  </si>
  <si>
    <t xml:space="preserve"> Chỉ Peclon (100m/cuộn) </t>
  </si>
  <si>
    <t>Túi 1 cuộn</t>
  </si>
  <si>
    <t>Viện TTB - VN</t>
  </si>
  <si>
    <t>Chỉ Peclon</t>
  </si>
  <si>
    <t xml:space="preserve"> Chỉ Prolen 7/0; kim 11mm </t>
  </si>
  <si>
    <t>12 sợi/hộp</t>
  </si>
  <si>
    <t>Johnson - Anh/ Bỉ</t>
  </si>
  <si>
    <t>W8801</t>
  </si>
  <si>
    <t xml:space="preserve"> Chỉ Vicryl 5/0; kim 17mm </t>
  </si>
  <si>
    <t>W9105</t>
  </si>
  <si>
    <t xml:space="preserve"> Chỉ Vicryl 4/0; kim 20mm </t>
  </si>
  <si>
    <t>W9113</t>
  </si>
  <si>
    <t xml:space="preserve"> Chỉ Vicryl 3/0; kim 26cm </t>
  </si>
  <si>
    <t>W9120</t>
  </si>
  <si>
    <t xml:space="preserve"> Chỉ Vicryl 2/0; kim 26mm </t>
  </si>
  <si>
    <t>W9121</t>
  </si>
  <si>
    <t xml:space="preserve"> Chỉ Vicryl 2/0; kim 36mm </t>
  </si>
  <si>
    <t>W9962</t>
  </si>
  <si>
    <t xml:space="preserve"> Chỉ Vicryl 1/0; Kim 40mm </t>
  </si>
  <si>
    <t>sợi</t>
  </si>
  <si>
    <t>W9431</t>
  </si>
  <si>
    <t xml:space="preserve"> Chỉ  Polydioxanone 6/0 </t>
  </si>
  <si>
    <t>36 sợi/hộp</t>
  </si>
  <si>
    <t>W9100H PDS 6/0</t>
  </si>
  <si>
    <t xml:space="preserve"> Chỉ  Vicryl Plus (khâu gan) </t>
  </si>
  <si>
    <t xml:space="preserve">W9391 </t>
  </si>
  <si>
    <t>Chỉ nylon 10/0 (mắt)kim 3 cạnh</t>
  </si>
  <si>
    <t>Alcon - Mỹ</t>
  </si>
  <si>
    <t>Nylon 10/0</t>
  </si>
  <si>
    <t>Chỉ Prolene 10/0 (mắt)</t>
  </si>
  <si>
    <t xml:space="preserve">W1777 </t>
  </si>
  <si>
    <t xml:space="preserve"> Chỉ thép 0.4 mm </t>
  </si>
  <si>
    <t>Cuộn</t>
  </si>
  <si>
    <t>Việt Nam</t>
  </si>
  <si>
    <t>Chỉ thép 0,4mm</t>
  </si>
  <si>
    <t xml:space="preserve"> Chỉ Vicryl 5/0  (mắt) </t>
  </si>
  <si>
    <t>W9553</t>
  </si>
  <si>
    <t xml:space="preserve"> Chỉ Vicryl 6/0  (mắt) </t>
  </si>
  <si>
    <t>W9552</t>
  </si>
  <si>
    <t xml:space="preserve"> Chỉ Vicryl 7/0  (mắt) </t>
  </si>
  <si>
    <t>W9561</t>
  </si>
  <si>
    <t xml:space="preserve"> Chỉ Vicryl 8/0  (mắt) </t>
  </si>
  <si>
    <t xml:space="preserve"> W9560</t>
  </si>
  <si>
    <t xml:space="preserve"> Clip LT300 </t>
  </si>
  <si>
    <t>6 cái/vỉ, 18 vỉ/hộp</t>
  </si>
  <si>
    <t>LT300</t>
  </si>
  <si>
    <t xml:space="preserve"> Sáp Bone Wax </t>
  </si>
  <si>
    <t>24 miếng/hộp</t>
  </si>
  <si>
    <t>Miếng</t>
  </si>
  <si>
    <t>W810</t>
  </si>
  <si>
    <t xml:space="preserve"> Sáp Surgicel 10x20 </t>
  </si>
  <si>
    <t>W1912</t>
  </si>
  <si>
    <t xml:space="preserve"> Sốp cầm máu sọ não </t>
  </si>
  <si>
    <t>20 miếng/hộp</t>
  </si>
  <si>
    <t>MS0002</t>
  </si>
  <si>
    <t xml:space="preserve"> Chỉ thay van tim 2/0 kim 26mm  </t>
  </si>
  <si>
    <t>60 sợi/hộp</t>
  </si>
  <si>
    <t>KV31</t>
  </si>
  <si>
    <t xml:space="preserve"> Chỉ thay van tim 2/0, kim 18mm </t>
  </si>
  <si>
    <t xml:space="preserve"> KV33</t>
  </si>
  <si>
    <t xml:space="preserve"> Chỉ thép số 5   </t>
  </si>
  <si>
    <t>48 sợi/hộp</t>
  </si>
  <si>
    <t>M650G</t>
  </si>
  <si>
    <t xml:space="preserve"> Chỉ thép số 1  </t>
  </si>
  <si>
    <t>M660G</t>
  </si>
  <si>
    <t xml:space="preserve"> Chỉ Prolen 3/0  </t>
  </si>
  <si>
    <t>W8522</t>
  </si>
  <si>
    <t xml:space="preserve"> Chỉ Prolen 4/0  </t>
  </si>
  <si>
    <t>W8840</t>
  </si>
  <si>
    <t xml:space="preserve"> Chỉ Prolen 5/0; Kim 13mm </t>
  </si>
  <si>
    <t>W8710</t>
  </si>
  <si>
    <t xml:space="preserve"> Chỉ Prolen 5/0; Kim 17mm </t>
  </si>
  <si>
    <t>W8830</t>
  </si>
  <si>
    <t xml:space="preserve"> Chỉ Prolen 6/0  </t>
  </si>
  <si>
    <t>W8597</t>
  </si>
  <si>
    <t xml:space="preserve"> Chỉ Prolen 8/0  </t>
  </si>
  <si>
    <t>W8703</t>
  </si>
  <si>
    <t xml:space="preserve"> Chỉ PDS 5/0 </t>
  </si>
  <si>
    <t>Hộp 36 sợi</t>
  </si>
  <si>
    <t>W9108H</t>
  </si>
  <si>
    <t xml:space="preserve"> Chỉ PDS 6/0 </t>
  </si>
  <si>
    <t>W9100H</t>
  </si>
  <si>
    <t xml:space="preserve"> Prolene Sort Mesh 5cm x 10cm </t>
  </si>
  <si>
    <t>Hộp 6 miếng</t>
  </si>
  <si>
    <t>SPMS</t>
  </si>
  <si>
    <t>Chỉ Dafilon số 1</t>
  </si>
  <si>
    <t>B.Braun- Malaysia</t>
  </si>
  <si>
    <t>CDA</t>
  </si>
  <si>
    <t>Chỉ Dafilon số 2/0</t>
  </si>
  <si>
    <t>Chỉ Dafilon số 3/0</t>
  </si>
  <si>
    <t>Chỉ safil số 1/0</t>
  </si>
  <si>
    <t>CSAFIN010</t>
  </si>
  <si>
    <t>Chỉ Safil số 2/0</t>
  </si>
  <si>
    <t>CSAFIN020</t>
  </si>
  <si>
    <t>Chỉ Safil số 3/0</t>
  </si>
  <si>
    <t>CSAFIN30</t>
  </si>
  <si>
    <t>Chỉ Safil số 4/0</t>
  </si>
  <si>
    <t>Cộng lô 5:</t>
  </si>
  <si>
    <r>
      <t>* Tổng cộng giá dự thầu của lô hàng số 5: 2.009.961.240 đồng (</t>
    </r>
    <r>
      <rPr>
        <i/>
        <sz val="7"/>
        <rFont val="Arial"/>
        <family val="2"/>
      </rPr>
      <t>Hai tỷ, không trăm linh chín triệu, chín trăm sáu mươi mốt nghìn, hai trăm bốn mươi đồng./.)</t>
    </r>
  </si>
  <si>
    <t>LÔ HÀNG SỐ 6</t>
  </si>
  <si>
    <t>Chỉ tiêu tổng hợp đa sợi ECOSORB số 1, 90CM, Kim tròn 40MM, 1/2 đường tròn</t>
  </si>
  <si>
    <t>12 sợi/ hộp</t>
  </si>
  <si>
    <t>Vigilenz - Malaysia</t>
  </si>
  <si>
    <t>E19RH400</t>
  </si>
  <si>
    <t>CÔNG TY TNHH THƯƠNG MẠI ĐẦU TƯ VIỄN TÂY</t>
  </si>
  <si>
    <t>Chỉ tiêu tổng hợp đa sợi ECOSORB số 2-0 75CM, kim tròn 26MM, 1/2 đường tròn</t>
  </si>
  <si>
    <t xml:space="preserve"> E27RH260</t>
  </si>
  <si>
    <t>Chỉ tiêu tổng hợp đa sợi ECOSORB số 3-0 75CM , kim tròn 26 MM, 1/2 đường tròn</t>
  </si>
  <si>
    <t>E37RH260</t>
  </si>
  <si>
    <t>Chỉ tiêu tổng hợp đa sợi ECOSORB số 4/0, kim tròn 1/2C 17mm, 90cm</t>
  </si>
  <si>
    <t>E47RH170</t>
  </si>
  <si>
    <t>Chỉ tiêu tổng hợp đa sợi ECOSORB số 5-0 75CM, kim tròn 17MM</t>
  </si>
  <si>
    <t xml:space="preserve"> E57RH170</t>
  </si>
  <si>
    <t>Chỉ tiêu nhanh ECOSORB FAST 2/0 kim 36mm, dài 90cm</t>
  </si>
  <si>
    <t xml:space="preserve"> F29VH36W</t>
  </si>
  <si>
    <t>Chỉ phẫu thuật mạch máu Polypropylene SURGIPRO* II 7-0 60CM 2xCV, kim 13MM.</t>
  </si>
  <si>
    <t>36 sợi/ hộp</t>
  </si>
  <si>
    <t>Covidien - Mỹ</t>
  </si>
  <si>
    <t>VP-704X</t>
  </si>
  <si>
    <t>Chỉ phẫu thuật mạch máu Polypropylene
 SURGIPRO* II 5-0 75CM 2xCV, Kim 17MM</t>
  </si>
  <si>
    <t xml:space="preserve"> VP-556X</t>
  </si>
  <si>
    <t>Chỉ phẫu thuật mạch máu Polypropylene SURGIPRO* II 4-0 90CM 2xV-20, Kim 22MM</t>
  </si>
  <si>
    <t>VP-761X</t>
  </si>
  <si>
    <t>Chỉ phẫu thuật mạch máu Polypropylene SURGIPRO* II 3-0 90CM 2xV-20 , Kim 26MM</t>
  </si>
  <si>
    <t>VP -522X</t>
  </si>
  <si>
    <t>Chỉ phẫu thuật mạch máu Polypropylene 
SURGIPRO* II 2-0 90CM 2xV-20 BLUE 36 SURGALLOY, hai kim tròn 1/2, 26mm</t>
  </si>
  <si>
    <t>VP-977X</t>
  </si>
  <si>
    <t>Chỉ Nylon BRILON 2/0 kim 24mm, 3/8C đường tròn</t>
  </si>
  <si>
    <t>B27CD240</t>
  </si>
  <si>
    <t>Chỉ Nylon BRILON 3/0 kim 24mm, 3/8C đường tròn</t>
  </si>
  <si>
    <t>B37CD240</t>
  </si>
  <si>
    <t>Chỉ Nylon BRILON 4/0 kim 20mm, 3/8C đường tròn</t>
  </si>
  <si>
    <t>B44CD190</t>
  </si>
  <si>
    <t>Chỉ Nylon BRILON 5/0 kim 19mm, 3/8C đường tròn</t>
  </si>
  <si>
    <t>B54CD160</t>
  </si>
  <si>
    <t>Chỉ Nylon phẫu thuật mắt BRILON 9/0 dài 30cm, kim hình thang 6,5mm, hai kim 3/8 đường tròn</t>
  </si>
  <si>
    <t>B93FD062</t>
  </si>
  <si>
    <t>Tổng cộng giá dự thầu</t>
  </si>
  <si>
    <t>LÔ HÀNG SỐ 7</t>
  </si>
  <si>
    <t>Surgicryl Rapid số 2/0 dài 75cm, kim tròn 36mm, 1/2 đường tròn</t>
  </si>
  <si>
    <t>12sợi/hộp</t>
  </si>
  <si>
    <t>SMI - Bỉ</t>
  </si>
  <si>
    <t>CÔNG TY CỔ PHẦN ĐẦU TƯ HOÀNG NGUYÊN</t>
  </si>
  <si>
    <t>Surgicryl 910 số 1 dài 90cm, kim tròn 40mm, 1/2 đường tròn</t>
  </si>
  <si>
    <t>Surgicryl 910 số 2/0 dài 75cm, kim tròn 26mm, 1/2 đường tròn</t>
  </si>
  <si>
    <t>15300126</t>
  </si>
  <si>
    <t>Surgicryl 910 số 3/0 dài 75cm, kim tròn 26mm, 1/2 đường tròn</t>
  </si>
  <si>
    <t>15200126</t>
  </si>
  <si>
    <t>Surgicryl 910 số 4/0 dài 75cm, kim tròn 22mm, 1/2 đường tròn</t>
  </si>
  <si>
    <t>15150122</t>
  </si>
  <si>
    <t>Surgicryl 910 số 5/0 dài 75cm, kim tròn 17mm, 1/2 đường tròn</t>
  </si>
  <si>
    <t>15100117</t>
  </si>
  <si>
    <t>Surgicryl PGA số 0 dài 90cm, kim tròn 36mm, 1/2 đường tròn</t>
  </si>
  <si>
    <t>11350136</t>
  </si>
  <si>
    <t>Surgicryl PGA số 1 dài 90cm, kim tròn 40mm, 1/2 đường tròn</t>
  </si>
  <si>
    <t>11400140</t>
  </si>
  <si>
    <t>Surgicryl PGA số 2/0 dài 75cm, kim tròn 26mm, 1/2 đường tròn</t>
  </si>
  <si>
    <t>11300126</t>
  </si>
  <si>
    <t>Surgicryl PGA số 3/0 dài 75cm, kim tròn 26mm, 1/2 đường tròn</t>
  </si>
  <si>
    <t>11200126</t>
  </si>
  <si>
    <t>Surgicryl PGA số 4/0 dài 75cm, kim tròn 22mm, 1/2 đường tròn</t>
  </si>
  <si>
    <t>11150122</t>
  </si>
  <si>
    <t>Surgicryl PGA số 5/0 dài 75cm, kim tròn 17mm, 1/2 đường tròn</t>
  </si>
  <si>
    <t>11100117</t>
  </si>
  <si>
    <t>Catgut Chrom số 0 dài 75cm, kim tròn 37mm, 1/2 đường tròn</t>
  </si>
  <si>
    <t>2500140</t>
  </si>
  <si>
    <t>Catgut Plain số 1 dài 75cm, kim tròn 37mm, 1/2 đường tròn</t>
  </si>
  <si>
    <t>1500137</t>
  </si>
  <si>
    <t>Catgut Plain số 2/0 dài 75cm, kim tròn 26mm, 1/2 đường tròn</t>
  </si>
  <si>
    <t>1351524</t>
  </si>
  <si>
    <t>Catgut Plain số 3/0 dài 75cm, kim tròn 26mm, 1/2 đường tròn</t>
  </si>
  <si>
    <t>1301524</t>
  </si>
  <si>
    <t>Catgut Plain số 4/0 dài 75cm, kim tròn 26mm, 1/2 đường tròn</t>
  </si>
  <si>
    <t>1201524</t>
  </si>
  <si>
    <t>Catgut Plain số 5/0 dài 75cm, kim tròn 16mm, 1/2 đường tròn</t>
  </si>
  <si>
    <t>1151516</t>
  </si>
  <si>
    <t>Daclon Nylon số 0 dài 75cm, kim tam giác 24mm, 3/8 đường tròn</t>
  </si>
  <si>
    <t>9351524</t>
  </si>
  <si>
    <t>Daclon Nylon số 1 dài 75cm, kim tam giác 24mm, 3/8 đường tròn</t>
  </si>
  <si>
    <t>9401524</t>
  </si>
  <si>
    <t>Daclon Nylon số 2/0 dài 75cm, kim tam giác 24mm, 3/8 đường tròn</t>
  </si>
  <si>
    <t>9301524</t>
  </si>
  <si>
    <t>Daclon Nylon số 3/0 dài 75cm, kim tam giác 24mm, 3/8 đường tròn</t>
  </si>
  <si>
    <t>9201524</t>
  </si>
  <si>
    <t>Daclon Nylon số 4/0 dài 75cm, kim tam giác 19mm, 3/8 đường tròn</t>
  </si>
  <si>
    <t>9151519</t>
  </si>
  <si>
    <t>Daclon Nylon số 5/0 dài 75cm, kim tam giác 19mm, 3/8 đường tròn</t>
  </si>
  <si>
    <t>9101524</t>
  </si>
  <si>
    <t>Daclon Nylon số 6/0 dài 75cm, kim tam giác 16mm, 3/8 đường tròn</t>
  </si>
  <si>
    <t>9071516</t>
  </si>
  <si>
    <t>Daclon Nylon số 9/0 dài 30cm, 2 kim hình thang 6.2mm 3/8 đường tròn</t>
  </si>
  <si>
    <t>ON95</t>
  </si>
  <si>
    <t>Daclon Nylon số 10/0, dài 30cm, 2 kim hình thang 6.2mm, 1/2 đường tròn</t>
  </si>
  <si>
    <t>ON102</t>
  </si>
  <si>
    <t>Sáp cần máu xương 2,5gr/miếng</t>
  </si>
  <si>
    <t>12miếng/hộp</t>
  </si>
  <si>
    <t xml:space="preserve">Miếng </t>
  </si>
  <si>
    <t>Z046</t>
  </si>
  <si>
    <t>Lưới điều trị thoát vị Polyropylene Meshes 6*11 cm</t>
  </si>
  <si>
    <t>1miếng/hộp</t>
  </si>
  <si>
    <t>ZMS0611</t>
  </si>
  <si>
    <t>Lưới điều trị thoát vị Polyropylene Meshes 15*15 cm</t>
  </si>
  <si>
    <t>ZMS1515</t>
  </si>
  <si>
    <t xml:space="preserve">CỘNG LÔ 7 </t>
  </si>
  <si>
    <t>LÔ HÀNG SỐ 8</t>
  </si>
  <si>
    <t xml:space="preserve"> Băng đựng hóa chất Sterrad 100S Cassettes </t>
  </si>
  <si>
    <t>5 băng
/hộp</t>
  </si>
  <si>
    <t>Hộp</t>
  </si>
  <si>
    <t>Johnson&amp;Johnson
Mỹ</t>
  </si>
  <si>
    <t xml:space="preserve"> Giấy cuộn Tyvek 350mm X 70m ( có chỉ thị hóa học mầu đỏ) </t>
  </si>
  <si>
    <t>2 cuôn
/thùng</t>
  </si>
  <si>
    <t>Thùng 2 cuộn</t>
  </si>
  <si>
    <t>Wipak -Phanlan</t>
  </si>
  <si>
    <t xml:space="preserve">Que thử hóa học nhiệt độ thấp  </t>
  </si>
  <si>
    <t>1000 que
/hộp</t>
  </si>
  <si>
    <t xml:space="preserve"> Que thử sinh học nhiệt độ thấp  </t>
  </si>
  <si>
    <t>30 ống/hộp</t>
  </si>
  <si>
    <t xml:space="preserve"> Chỉ thị hóa học kiểm tra chất lượng tiệt khuẩn y tế 1243A (500 test/Túi ) </t>
  </si>
  <si>
    <t>500 miếng
/gói</t>
  </si>
  <si>
    <t>Túi</t>
  </si>
  <si>
    <t>3M - Mỹ</t>
  </si>
  <si>
    <t>1243A</t>
  </si>
  <si>
    <t xml:space="preserve"> Chỉ thị hóa học đa thông số ( Hấp ướt ) 1243 B</t>
  </si>
  <si>
    <t>500 miếng/gói</t>
  </si>
  <si>
    <t>Gói</t>
  </si>
  <si>
    <t>1243B</t>
  </si>
  <si>
    <t xml:space="preserve"> Túi ép dẹt 7.5cm x 200m </t>
  </si>
  <si>
    <t>8 cuộn
/thùng</t>
  </si>
  <si>
    <t xml:space="preserve"> Túi ép dẹt 15cm x 200m </t>
  </si>
  <si>
    <t>4 cuộn/thùng</t>
  </si>
  <si>
    <t xml:space="preserve"> Túi ép dẹt 20cm x 200m </t>
  </si>
  <si>
    <t>4 cuộn
/thùng</t>
  </si>
  <si>
    <t xml:space="preserve"> Túi ép dẹt 30cm x 200m </t>
  </si>
  <si>
    <t>2 cuộn/thùng</t>
  </si>
  <si>
    <t xml:space="preserve"> Túi ép phồng 30cm x 8cm x 100m </t>
  </si>
  <si>
    <t>2 cuộn
/thùng</t>
  </si>
  <si>
    <t xml:space="preserve"> Tấm thử chức năng máy hấp ướt (bowie dick test) </t>
  </si>
  <si>
    <t>50 tấm
/hộp</t>
  </si>
  <si>
    <t>Tấm</t>
  </si>
  <si>
    <t>00130</t>
  </si>
  <si>
    <t xml:space="preserve"> Test chỉ thị mầu (Indicator Strip) hấp ướt 2,4cmx55m </t>
  </si>
  <si>
    <t>20 cuộn
/thùng</t>
  </si>
  <si>
    <t>cuộn</t>
  </si>
  <si>
    <t>3M - Canada</t>
  </si>
  <si>
    <t xml:space="preserve"> Test chỉ thị hóa học comply Steristrip </t>
  </si>
  <si>
    <t>240 miếng
/hộp</t>
  </si>
  <si>
    <t xml:space="preserve"> Test sinh học dành cho hấp ướt 3h </t>
  </si>
  <si>
    <t>50 miếng/hộp</t>
  </si>
  <si>
    <t xml:space="preserve"> Test chỉ thị indicator Strip hấp tiệt trùng 1,8cmx50m (giấy in nhiệt nồi hấp tiệt trùng) - Test chỉ thị nhiệt hấp khô </t>
  </si>
  <si>
    <t>48 cuộn
/thùng</t>
  </si>
  <si>
    <t>3M - Italia</t>
  </si>
  <si>
    <t xml:space="preserve"> Cidex OPA </t>
  </si>
  <si>
    <t>Can 5 lít</t>
  </si>
  <si>
    <t>Lít</t>
  </si>
  <si>
    <t>Johnson&amp;Johnson
Nhật</t>
  </si>
  <si>
    <t>Cidizym</t>
  </si>
  <si>
    <t>Chai 5L</t>
  </si>
  <si>
    <t xml:space="preserve"> Dung dịch rửa tay Microshield 4% </t>
  </si>
  <si>
    <t>Chai 
500ml</t>
  </si>
  <si>
    <t>Johnson&amp;Johnson
Ân - Uc</t>
  </si>
  <si>
    <t xml:space="preserve"> Dung dịch rửa tay Microshield 2% </t>
  </si>
  <si>
    <t>Chai
 500ml</t>
  </si>
  <si>
    <t>Dung dịch sát khuẩn tay nhanh - Asirub</t>
  </si>
  <si>
    <t>Chai 
500 ml</t>
  </si>
  <si>
    <t>Asimec- Việt Nam</t>
  </si>
  <si>
    <t xml:space="preserve">Dung dịch sát khuẩn tay nhanh PVB 0,5 Lít
 </t>
  </si>
  <si>
    <t xml:space="preserve">Johnson&amp;Johnson
Ân - Uc </t>
  </si>
  <si>
    <t xml:space="preserve"> Viên khử khuẩn Presep </t>
  </si>
  <si>
    <t>100 viên
/hộp</t>
  </si>
  <si>
    <t>Viên</t>
  </si>
  <si>
    <t xml:space="preserve"> Test chỉ thị comply gas plasma Indicator tape 1,9cmx55m (1228) </t>
  </si>
  <si>
    <t>24 cuộn
/ thùng</t>
  </si>
  <si>
    <t>3M -Mỹ</t>
  </si>
  <si>
    <t xml:space="preserve"> Test chỉ thị hóa học comply gas plasma Indicator tape 2cmx10cm (1248) </t>
  </si>
  <si>
    <t>250 miếng
/hộp</t>
  </si>
  <si>
    <t xml:space="preserve"> Nhãn ghi tiệt trùng plasma comply Sterilization load label 1257W </t>
  </si>
  <si>
    <t>1125 nhãn/cuộn</t>
  </si>
  <si>
    <t>1269R</t>
  </si>
  <si>
    <t xml:space="preserve"> Điện cực tim nền xốp </t>
  </si>
  <si>
    <t>50 miếng/gói</t>
  </si>
  <si>
    <t>3M -Canada</t>
  </si>
  <si>
    <t xml:space="preserve"> Túi ép phồng 20 cm x 8cm x 100m </t>
  </si>
  <si>
    <t xml:space="preserve"> Dung dịch phun khử khuẩn môi trường ( can 5lít) - Aniospray29 (Anios)</t>
  </si>
  <si>
    <t>Anios -Pháp</t>
  </si>
  <si>
    <t xml:space="preserve"> Giấy gói 90cm*90cm( nhiệt độ thấp) </t>
  </si>
  <si>
    <t>250 tờ
/thùng</t>
  </si>
  <si>
    <t>tờ</t>
  </si>
  <si>
    <t xml:space="preserve">Màng mổ vô trùng Incise Drapes 25x28cm (2037) </t>
  </si>
  <si>
    <t>10 miếng/hộp</t>
  </si>
  <si>
    <t xml:space="preserve">Màng mổ vô trùng Incise Drapes28x41cm (2040) </t>
  </si>
  <si>
    <t xml:space="preserve"> Màng mổ vô trùng Incise Drapes  50x45cm (2045) </t>
  </si>
  <si>
    <t xml:space="preserve">Màng mổ vô trùng có Betadin Ioban Incise Drapes 35x35cm (6640) </t>
  </si>
  <si>
    <t>10 miếng
/hộp</t>
  </si>
  <si>
    <t xml:space="preserve"> Miếng dán Tegaderm trong suốt 6cmx7cm, keo Acrylate có khung viền </t>
  </si>
  <si>
    <t>100 miếng
/hộp</t>
  </si>
  <si>
    <t>1624W</t>
  </si>
  <si>
    <t xml:space="preserve"> Miếng dán Tegaderm trong suốt 10cmx12cm, keo Acrylate có khung viền </t>
  </si>
  <si>
    <t>50 miếng
/hộp</t>
  </si>
  <si>
    <t>1626W</t>
  </si>
  <si>
    <t>TỔNG:</t>
  </si>
  <si>
    <t>Bằng chữ : Một tỷ chín trăm mười bảy triệu bảy trăm sáu mươi hai ngàn một trăm tám mươi đồng.</t>
  </si>
  <si>
    <t>LÔ HÀNG SỐ 9</t>
  </si>
  <si>
    <t xml:space="preserve"> Đầu siêu âm răng </t>
  </si>
  <si>
    <t>1 cái/túi</t>
  </si>
  <si>
    <t>Parker - Mỹ</t>
  </si>
  <si>
    <t>PKM</t>
  </si>
  <si>
    <t xml:space="preserve"> Điện cực dán </t>
  </si>
  <si>
    <t>30 cái/túi</t>
  </si>
  <si>
    <t>Skintack - Áo</t>
  </si>
  <si>
    <t>ECG Electrode</t>
  </si>
  <si>
    <t xml:space="preserve"> Cân sức khoẻ  </t>
  </si>
  <si>
    <t>1 cái/hộp</t>
  </si>
  <si>
    <t>Tanita - Nhật</t>
  </si>
  <si>
    <t>Scale Tanita</t>
  </si>
  <si>
    <t xml:space="preserve"> Bóng Ampu  </t>
  </si>
  <si>
    <t>1 bộ/hộp</t>
  </si>
  <si>
    <t>Fotune - ĐÀI LOAN</t>
  </si>
  <si>
    <t xml:space="preserve">Resuscitator </t>
  </si>
  <si>
    <t xml:space="preserve"> Cân sức khoẻ có thước đo </t>
  </si>
  <si>
    <t>TZ120-TQ</t>
  </si>
  <si>
    <t>TZ-120</t>
  </si>
  <si>
    <t xml:space="preserve"> Canuyn MayO </t>
  </si>
  <si>
    <t>Guedel airway</t>
  </si>
  <si>
    <t xml:space="preserve"> Châm gai </t>
  </si>
  <si>
    <t>12 cái/hộp</t>
  </si>
  <si>
    <t>Mani - Nhật</t>
  </si>
  <si>
    <t>Short barbed broaches</t>
  </si>
  <si>
    <t xml:space="preserve"> Châm trơn </t>
  </si>
  <si>
    <t>Smooth broaches</t>
  </si>
  <si>
    <t xml:space="preserve"> Dây ôxy 2 nhánh các cỡ </t>
  </si>
  <si>
    <t>100 bộ/kiện</t>
  </si>
  <si>
    <t>Kyoling - Nhật SX tại TQ</t>
  </si>
  <si>
    <t>Nasal oxygen</t>
  </si>
  <si>
    <t xml:space="preserve"> Dây garo </t>
  </si>
  <si>
    <t>10 cái/túi</t>
  </si>
  <si>
    <t>Việt Tiến - VN</t>
  </si>
  <si>
    <t>Dây ga rô</t>
  </si>
  <si>
    <t xml:space="preserve"> Dây truyền dịch (dây silicon có màng lọc) </t>
  </si>
  <si>
    <t>500 bộ/thùng</t>
  </si>
  <si>
    <t>KAWA Infusion set</t>
  </si>
  <si>
    <t xml:space="preserve"> ống đặt nội khí quản </t>
  </si>
  <si>
    <t>10 cái/hộp</t>
  </si>
  <si>
    <t>Tracheal Tube - Kyoling</t>
  </si>
  <si>
    <t xml:space="preserve"> ống cắm panh Inox </t>
  </si>
  <si>
    <t>Bình An - VN</t>
  </si>
  <si>
    <t>Trụ cắm panh</t>
  </si>
  <si>
    <t xml:space="preserve"> ống hút nước bọt </t>
  </si>
  <si>
    <t>100 cái/túi</t>
  </si>
  <si>
    <t>VISTA-VN</t>
  </si>
  <si>
    <t>Ống hút nước bọt</t>
  </si>
  <si>
    <t xml:space="preserve"> ống hút thai nhựa </t>
  </si>
  <si>
    <t>50 cái/túi</t>
  </si>
  <si>
    <t>Ống hút thai</t>
  </si>
  <si>
    <t xml:space="preserve"> ống nghe </t>
  </si>
  <si>
    <t>Alka2 - Nhật</t>
  </si>
  <si>
    <t>Stethoscopes</t>
  </si>
  <si>
    <t xml:space="preserve">Giấy điện tim 3 cần 63mmx30m </t>
  </si>
  <si>
    <t>Sonomed - Malaysia</t>
  </si>
  <si>
    <t>Telepaper</t>
  </si>
  <si>
    <t xml:space="preserve"> Giấy điện tim 6 cần 140-110 </t>
  </si>
  <si>
    <t>1 tập/túi</t>
  </si>
  <si>
    <t>Tập</t>
  </si>
  <si>
    <t xml:space="preserve"> Giấy điện tim dùng cho máy điện tim Mỹ Welely Allyn </t>
  </si>
  <si>
    <t>Welely Allyn - MỸ</t>
  </si>
  <si>
    <t xml:space="preserve"> Giấy điện tim 6 cần loại to 145-60 </t>
  </si>
  <si>
    <t>EF Medica - ITALIA</t>
  </si>
  <si>
    <t xml:space="preserve"> Giấy in ảnh siêu âm dùng cho máy in Sony 110mmx 20m </t>
  </si>
  <si>
    <t>Sony - Nhật</t>
  </si>
  <si>
    <t>UPP-110S</t>
  </si>
  <si>
    <t xml:space="preserve"> Giấy in liên tục A4 </t>
  </si>
  <si>
    <t>Liên Sơn - VN</t>
  </si>
  <si>
    <t>Giấy in liên tục</t>
  </si>
  <si>
    <t xml:space="preserve"> Giấy in ảnh siêu âm màu dùng cho máy in Sony UPC 21S </t>
  </si>
  <si>
    <t>3 tập/hộp</t>
  </si>
  <si>
    <t>UPC-21S</t>
  </si>
  <si>
    <t xml:space="preserve"> Hộp hấp dụng cụ Ф 260mm </t>
  </si>
  <si>
    <t xml:space="preserve">Hộp hấp bông Ф 26 </t>
  </si>
  <si>
    <t xml:space="preserve"> Hộp hấp to (Ф 360 x 290) </t>
  </si>
  <si>
    <t xml:space="preserve">Hộp hấp bông Ф 36 </t>
  </si>
  <si>
    <t xml:space="preserve"> Hộp Inox 10 x 15 tròn </t>
  </si>
  <si>
    <t>Hộp bông cồn</t>
  </si>
  <si>
    <t xml:space="preserve"> Hộp Inox 7 x 10 tròn </t>
  </si>
  <si>
    <t xml:space="preserve"> Huyết áp </t>
  </si>
  <si>
    <t>ALKP2- Sphymonameter</t>
  </si>
  <si>
    <t xml:space="preserve"> Kìm mang kim </t>
  </si>
  <si>
    <t>Simaeco- Pakistan</t>
  </si>
  <si>
    <t>Needle holders</t>
  </si>
  <si>
    <t xml:space="preserve"> Hộp chống choáng </t>
  </si>
  <si>
    <t>Hộp chống sốc</t>
  </si>
  <si>
    <t xml:space="preserve"> Kéo cắt chỉ </t>
  </si>
  <si>
    <t>Simaeco - Pakistan</t>
  </si>
  <si>
    <t>Operating scissors</t>
  </si>
  <si>
    <t xml:space="preserve"> Kéo các loại 16-22cm (cong + thẳng) </t>
  </si>
  <si>
    <t xml:space="preserve"> Khay Inox 30 x 40 </t>
  </si>
  <si>
    <t>Trung Quốc</t>
  </si>
  <si>
    <t>Khay inox</t>
  </si>
  <si>
    <t xml:space="preserve"> Khay Inox quả đậu to </t>
  </si>
  <si>
    <t>Khay quả đậu</t>
  </si>
  <si>
    <t xml:space="preserve"> Khay men 20x30 </t>
  </si>
  <si>
    <t>NMSTM HP-VN</t>
  </si>
  <si>
    <t>Khay men</t>
  </si>
  <si>
    <t xml:space="preserve"> Kim Guta 120cái/hộp </t>
  </si>
  <si>
    <t>120 cái/hộp</t>
  </si>
  <si>
    <t>Gapadent- TQ</t>
  </si>
  <si>
    <t>Gutta-percha</t>
  </si>
  <si>
    <t xml:space="preserve"> Kẹp phẫu tích các loại </t>
  </si>
  <si>
    <t>Dressing and tissue forceps</t>
  </si>
  <si>
    <t xml:space="preserve"> Kẹp rốn </t>
  </si>
  <si>
    <t>Mebipha - VN</t>
  </si>
  <si>
    <t>Kẹp rún</t>
  </si>
  <si>
    <t xml:space="preserve"> Kim luồn </t>
  </si>
  <si>
    <t>Doowon - Hàn Quốc</t>
  </si>
  <si>
    <t>Green I.V.Catheter</t>
  </si>
  <si>
    <t xml:space="preserve"> Lentulo </t>
  </si>
  <si>
    <t>Hộp 4 cái</t>
  </si>
  <si>
    <t>Paste carriers</t>
  </si>
  <si>
    <t xml:space="preserve"> Lưỡi dao mổ các loại </t>
  </si>
  <si>
    <t>100 cái/hộp</t>
  </si>
  <si>
    <t>KERH - Ấn Độ</t>
  </si>
  <si>
    <t>KIATO Sterile surgical blades</t>
  </si>
  <si>
    <t xml:space="preserve"> Mặt gương </t>
  </si>
  <si>
    <t>Mouth mirrors</t>
  </si>
  <si>
    <t xml:space="preserve"> Mask thở các loại </t>
  </si>
  <si>
    <t>Oxygen Mask</t>
  </si>
  <si>
    <t xml:space="preserve"> Mũi khoan kim cương </t>
  </si>
  <si>
    <t>5 cái/hộp</t>
  </si>
  <si>
    <t>Medin - Tiệp</t>
  </si>
  <si>
    <t>Diamond rotary</t>
  </si>
  <si>
    <t xml:space="preserve"> Nhiệt kế 42°C </t>
  </si>
  <si>
    <t>Aurora - TQ</t>
  </si>
  <si>
    <t>Thermometer</t>
  </si>
  <si>
    <t xml:space="preserve"> Nong ống tủy </t>
  </si>
  <si>
    <t>6 cái/hộp</t>
  </si>
  <si>
    <t>K- File</t>
  </si>
  <si>
    <t xml:space="preserve"> Panh các loại 16-22cm (cong + thẳng) </t>
  </si>
  <si>
    <t>H- File</t>
  </si>
  <si>
    <t xml:space="preserve"> Panh gắp thai </t>
  </si>
  <si>
    <t>Haemostatic Forceps</t>
  </si>
  <si>
    <t xml:space="preserve"> Panh cầm máu </t>
  </si>
  <si>
    <t xml:space="preserve"> Panh gắp bông (kẹp bông) </t>
  </si>
  <si>
    <t xml:space="preserve"> Quần áo chống dịch </t>
  </si>
  <si>
    <t>1 bộ/túi</t>
  </si>
  <si>
    <t>Bảo Thạch - VN</t>
  </si>
  <si>
    <t>Bộ quần áo phòng dịch</t>
  </si>
  <si>
    <t xml:space="preserve"> Khẩu trang N95 </t>
  </si>
  <si>
    <t>3M - Hồng Kông</t>
  </si>
  <si>
    <t>Khẩu trang N95</t>
  </si>
  <si>
    <t xml:space="preserve"> Vôi xô đa </t>
  </si>
  <si>
    <t>Can 5 kg</t>
  </si>
  <si>
    <t>Kg</t>
  </si>
  <si>
    <t>Molecular - Anh</t>
  </si>
  <si>
    <t>Sodalime</t>
  </si>
  <si>
    <t xml:space="preserve"> Bàn chải phẫu thuật </t>
  </si>
  <si>
    <t>Brush surgical</t>
  </si>
  <si>
    <t xml:space="preserve"> Kẹp cổ tử cung </t>
  </si>
  <si>
    <t>Chaput</t>
  </si>
  <si>
    <t xml:space="preserve"> Bơm tiêm răng (Bơm áp lực) </t>
  </si>
  <si>
    <t>Pimeory syringe</t>
  </si>
  <si>
    <t xml:space="preserve"> Van âm đạo </t>
  </si>
  <si>
    <t>Van âm đạo</t>
  </si>
  <si>
    <t xml:space="preserve"> Bơm hút thai chân không 1 van </t>
  </si>
  <si>
    <t>Ipas - Đài Loan</t>
  </si>
  <si>
    <t xml:space="preserve"> Karman</t>
  </si>
  <si>
    <t xml:space="preserve"> Bơm hút thai chân không 2 van </t>
  </si>
  <si>
    <t xml:space="preserve"> Túi nước tiểu </t>
  </si>
  <si>
    <t>200 bộ/kiện</t>
  </si>
  <si>
    <t>Urine Bag</t>
  </si>
  <si>
    <t>Cộng lô 9:</t>
  </si>
  <si>
    <r>
      <t xml:space="preserve">Bằng chữ: </t>
    </r>
    <r>
      <rPr>
        <i/>
        <sz val="7"/>
        <rFont val="Arial"/>
        <family val="2"/>
      </rPr>
      <t>Hai tỷ, bốn trăm sáu mươi triệu, tám trăm mười nghìn đồng chẵn./.</t>
    </r>
  </si>
  <si>
    <t>LÔ HÀNG SỐ 10</t>
  </si>
  <si>
    <t>Găng mổ (khám, dài) số 7 (S) và 7,5</t>
  </si>
  <si>
    <t>10hộp x 50 đôi</t>
  </si>
  <si>
    <t>Đôi</t>
  </si>
  <si>
    <t>Siam Sempermed / Thái lan</t>
  </si>
  <si>
    <t>LIÊN DANH TỔNG CTY CPYT DANAMECO VÀ CTY CP ĐT PHAN ANH</t>
  </si>
  <si>
    <t>Găng sản số 7 (S) và 7.5 (M) kiểm soát cổ tử cung</t>
  </si>
  <si>
    <t>6hộp x 50 đôi</t>
  </si>
  <si>
    <t>Casumina/ việt nam</t>
  </si>
  <si>
    <t>Găng mổ tiệt trùng số 7 (S) và 7,5</t>
  </si>
  <si>
    <t>8hộp x 50 đôi</t>
  </si>
  <si>
    <t>Perfect Forest/ Malaysia</t>
  </si>
  <si>
    <t>Găng khám (ngắn) số 7 (S) và 7,5</t>
  </si>
  <si>
    <t>Qube Medical Products Sdn Bhd/ Malayxia</t>
  </si>
  <si>
    <t xml:space="preserve"> Găng vệ sinh</t>
  </si>
  <si>
    <t>Túi/1 đôi</t>
  </si>
  <si>
    <t>Tổng Cộng</t>
  </si>
  <si>
    <t>Bằng chữ: Một tỷ bảy trăm bảy mươi hai triệu bốn trăm ngàn đồng.</t>
  </si>
  <si>
    <t>LÔ HÀNG SỐ 11</t>
  </si>
  <si>
    <t xml:space="preserve"> Vít xương cứng đk 3.5/16-&gt;40mm </t>
  </si>
  <si>
    <t>10 cái/1 vỉ</t>
  </si>
  <si>
    <t>Mikromed/Ba Lan, Medin/ CH Sec</t>
  </si>
  <si>
    <t>129795xxx, 2402xx</t>
  </si>
  <si>
    <t>1 tem/ 1 vỉ</t>
  </si>
  <si>
    <t>CÔNG TY TNHH THÀNH AN - HÀ NỘI</t>
  </si>
  <si>
    <t xml:space="preserve"> Vít xốp đk 4.0/30-&gt;60mm </t>
  </si>
  <si>
    <t>1297xxxxx, 241xxx</t>
  </si>
  <si>
    <t xml:space="preserve"> Vít xương cứng đk 4.5/20-&gt;60mm </t>
  </si>
  <si>
    <t>1 cái/1 gói</t>
  </si>
  <si>
    <t>200.2xx, 129799xxx</t>
  </si>
  <si>
    <t>1 tem/ 1 cái</t>
  </si>
  <si>
    <t xml:space="preserve"> Vít xốp đk 6.5/35-&gt;90mm </t>
  </si>
  <si>
    <t>5 cái/1 vỉ</t>
  </si>
  <si>
    <t>260xxx</t>
  </si>
  <si>
    <t xml:space="preserve"> Vít mắt cá chân đk 4.5/25-&gt;60mm </t>
  </si>
  <si>
    <t>216xxx</t>
  </si>
  <si>
    <t xml:space="preserve"> Nẹp lòng máng 1/3, 6 -&gt;8 lỗ vít 3.5 mm </t>
  </si>
  <si>
    <t>1 cái/ 1 gói</t>
  </si>
  <si>
    <t>1297811xx</t>
  </si>
  <si>
    <t xml:space="preserve"> Nẹp bản nhỏ 5-&gt;10 lỗ vít 3.5 mm </t>
  </si>
  <si>
    <t>013.xxx, 1291771xxx</t>
  </si>
  <si>
    <t xml:space="preserve"> Nẹp bản hẹp 5-&gt;14 lỗ, vít 4.5mm </t>
  </si>
  <si>
    <t>012.xxx, 1291780xxx</t>
  </si>
  <si>
    <t xml:space="preserve"> Nẹp bản rộng  6-&gt;12 lỗ </t>
  </si>
  <si>
    <t xml:space="preserve"> Nẹp chữ T nhỏ, vít 3.5 </t>
  </si>
  <si>
    <t>198.20x</t>
  </si>
  <si>
    <t xml:space="preserve"> Nẹp mắt xích các loại, vít 3.5 mm </t>
  </si>
  <si>
    <t>1290818xx, 01002x</t>
  </si>
  <si>
    <t xml:space="preserve"> Chỉ thép đk 0.3-1.2mm, cuộn 5 m </t>
  </si>
  <si>
    <t>30x.xxx</t>
  </si>
  <si>
    <t xml:space="preserve"> Đinh kít ne các cỡ </t>
  </si>
  <si>
    <t>31x.xxx</t>
  </si>
  <si>
    <t xml:space="preserve"> Đinh stecman các cỡ </t>
  </si>
  <si>
    <t>33x.xxx</t>
  </si>
  <si>
    <t xml:space="preserve"> Đinh schanz các cỡ </t>
  </si>
  <si>
    <t>36x.xxx</t>
  </si>
  <si>
    <t xml:space="preserve"> Mũi khoan đk 2.5-&gt;4.5mm </t>
  </si>
  <si>
    <t>711.xxx</t>
  </si>
  <si>
    <t xml:space="preserve"> Dây cưa sọ não </t>
  </si>
  <si>
    <t>12 sợi/1 hộp</t>
  </si>
  <si>
    <t>127170021</t>
  </si>
  <si>
    <t xml:space="preserve"> Tuốc nơ vit đường kính các loại </t>
  </si>
  <si>
    <t>78x200</t>
  </si>
  <si>
    <t xml:space="preserve"> Ống sáo (Fessa) </t>
  </si>
  <si>
    <t xml:space="preserve"> Khung cố định ngoại vi  </t>
  </si>
  <si>
    <t xml:space="preserve"> Đinh nội tủy có chốt các cỡ </t>
  </si>
  <si>
    <t>Sign/ Mỹ</t>
  </si>
  <si>
    <t>F8xxx, F9xxx, F10xxx, F12xxx</t>
  </si>
  <si>
    <t xml:space="preserve"> Vít chốt ngang dài 30-&gt;60mm </t>
  </si>
  <si>
    <t>5 cái/ 1 gói</t>
  </si>
  <si>
    <t>84xxx</t>
  </si>
  <si>
    <t>1 tem/ 1 gói</t>
  </si>
  <si>
    <t xml:space="preserve"> Nẹp khóa bản nhỏ các loại </t>
  </si>
  <si>
    <t>01330x</t>
  </si>
  <si>
    <t xml:space="preserve"> Nẹp khóa mắt xích các loại </t>
  </si>
  <si>
    <t>19728x, 19735x</t>
  </si>
  <si>
    <t xml:space="preserve"> Nẹp khóa đầu trên xương cánh tay các loại </t>
  </si>
  <si>
    <t>139xxx, 0132xx</t>
  </si>
  <si>
    <t xml:space="preserve"> Nẹp khóa mắt cá chân các loại </t>
  </si>
  <si>
    <t>0133xx</t>
  </si>
  <si>
    <t xml:space="preserve"> Nẹp khóa bản hẹp các loại </t>
  </si>
  <si>
    <t>012xxx</t>
  </si>
  <si>
    <t xml:space="preserve"> Nẹp khóa bản rộng các loại </t>
  </si>
  <si>
    <t>0123xx</t>
  </si>
  <si>
    <t xml:space="preserve"> Nẹp khóa đầu trên xương chày các loại </t>
  </si>
  <si>
    <t>0130xx</t>
  </si>
  <si>
    <t xml:space="preserve"> Nẹp khóa đầu trên, đầu dươí xương đùi  </t>
  </si>
  <si>
    <t>0131xx, 0132xx</t>
  </si>
  <si>
    <t xml:space="preserve"> Nẹp khóa chữ L các loại </t>
  </si>
  <si>
    <t>0134xx</t>
  </si>
  <si>
    <t xml:space="preserve"> Nẹp khóa chữ T các loại </t>
  </si>
  <si>
    <t>1392xx,13912x</t>
  </si>
  <si>
    <t xml:space="preserve"> Vít khóa đk 2.4-&gt;3.5mm các cỡ </t>
  </si>
  <si>
    <t>0217xx, 0208xx</t>
  </si>
  <si>
    <t xml:space="preserve"> Vít khóa đk 5.0mm-&gt;7.5mm các cỡ </t>
  </si>
  <si>
    <t>0207xx, 0205xx,0206xx,0221xx</t>
  </si>
  <si>
    <t xml:space="preserve"> Vít khóa spacer 2mm các loại </t>
  </si>
  <si>
    <t>0209xx,</t>
  </si>
  <si>
    <t xml:space="preserve"> Vít khóa bịt lỗ vít cỡ vừa, cỡ to </t>
  </si>
  <si>
    <t xml:space="preserve"> Clip Titan các loại </t>
  </si>
  <si>
    <t>10 cái/ 1 vỉ</t>
  </si>
  <si>
    <t>Teleflex - Mỹ</t>
  </si>
  <si>
    <t xml:space="preserve"> Clip Polymer các loại </t>
  </si>
  <si>
    <t>6 cái/ 1 vỉ</t>
  </si>
  <si>
    <t>544xxx</t>
  </si>
  <si>
    <t>Ống thông dẫn đường kép 2 nòng</t>
  </si>
  <si>
    <t>Microvention/Mỹ</t>
  </si>
  <si>
    <t>GC595xxxx, GC695xxxx</t>
  </si>
  <si>
    <t xml:space="preserve">Tổng cộng giá dự thầu của lô hàng hoá đã bao gồm thuế, phí,lệ phí </t>
  </si>
  <si>
    <t>Bằng chữ : Ba tỷ bốn trăm lẻ tám triệu chín trăm nghìn đồng chẵn./.</t>
  </si>
  <si>
    <t>LÔ HÀNG SỐ 12</t>
  </si>
  <si>
    <t>Nẹp cổ cứng H1(XXS, XS,S,M,L)</t>
  </si>
  <si>
    <t xml:space="preserve"> 01 cái/túi</t>
  </si>
  <si>
    <t>Gia Hưng - Việt Nam</t>
  </si>
  <si>
    <t>GIAHU - 002</t>
  </si>
  <si>
    <t>CÔNG TY  TNHH Y HỌC Á CHÂU</t>
  </si>
  <si>
    <t>N07.06.050</t>
  </si>
  <si>
    <t>Khung, đai, nẹp, thanh luồn dùng trong chấn thương - chỉnh hình và phục hồi chức năng các loại, các cỡ</t>
  </si>
  <si>
    <t>Nẹp cổ cứng (XS,S,M,L)</t>
  </si>
  <si>
    <t>Nẹp cổ mềm H1(XXS,XS,S,M,L,XL,XXL)</t>
  </si>
  <si>
    <t>GIAHU - 003</t>
  </si>
  <si>
    <t>Áo cột sống H1 (XXS,XS,S,M,L,XL,XXL)</t>
  </si>
  <si>
    <t>GIAHU - 015</t>
  </si>
  <si>
    <t>N07.06.020</t>
  </si>
  <si>
    <t>Áo chỉnh hình cột sống các loại, các cỡ</t>
  </si>
  <si>
    <t>Áo vùng lưng H1(XS,S,M,L,XL)</t>
  </si>
  <si>
    <t>GIAHU - 016</t>
  </si>
  <si>
    <t>Áo vùng lưng H3(S,M,L,XL)</t>
  </si>
  <si>
    <t>Đai thắt lưng cao cấp (S,M,L,XL,XXL)</t>
  </si>
  <si>
    <t>Osaka</t>
  </si>
  <si>
    <t>Đai thắt lưng H1 (S,M,L,XL)</t>
  </si>
  <si>
    <t>GIAHU - 12</t>
  </si>
  <si>
    <t>Đai thắt lưng H2 (S,M,L,XL)</t>
  </si>
  <si>
    <t>Đai xương sườn H1 (S,M,L,XL)</t>
  </si>
  <si>
    <t>GIAHU-034</t>
  </si>
  <si>
    <t>Đai hỗ trợ cơ bụng H1 (S,M,L,XL)</t>
  </si>
  <si>
    <t>Băng cố định khớp vai H1 (S,M,L,XL,XXL)</t>
  </si>
  <si>
    <t>GIAHU-005</t>
  </si>
  <si>
    <t>Đai số 8 H1 (XXS,XS,S,M,L,XL,XXL)</t>
  </si>
  <si>
    <t>GIAHU-004</t>
  </si>
  <si>
    <t>Nẹp cổ tay H1 (S,M,L,XL,XXL)</t>
  </si>
  <si>
    <t>GIAHU-006</t>
  </si>
  <si>
    <t>Nẹp cổ tay chun H1 (S,M,L,XL,XXL)</t>
  </si>
  <si>
    <t>ORBE - Trung Quốc</t>
  </si>
  <si>
    <t>Orbe 800-810</t>
  </si>
  <si>
    <t>Nẹp cổ bàn tay H1 (S,M,L,XL)</t>
  </si>
  <si>
    <t>Orbe 630-640</t>
  </si>
  <si>
    <t>Nẹp cẳng tay H4 (S,M,L,XL,XXL)</t>
  </si>
  <si>
    <t>GIAHU - 007</t>
  </si>
  <si>
    <t>Nẹp cẳng tay H5  (S,M,L,XL)</t>
  </si>
  <si>
    <t>GIAHU - 006</t>
  </si>
  <si>
    <t>Nẹp ngón tay cái H1 (S,M,L,XL,XXL)</t>
  </si>
  <si>
    <t>GIAHU - 028</t>
  </si>
  <si>
    <t>Nẹp cánh tay H3 (S,M,L,XL,XXL)</t>
  </si>
  <si>
    <t>GIAHU - 008</t>
  </si>
  <si>
    <t>Nẹp ngón tay H1  (S,M,L,XL,XXL)</t>
  </si>
  <si>
    <t>GIAHU - 023</t>
  </si>
  <si>
    <t>Nẹp bóng chày</t>
  </si>
  <si>
    <t>Túi treo tay H1 (S,M,L,XL)</t>
  </si>
  <si>
    <t>GIAHU - 010</t>
  </si>
  <si>
    <t xml:space="preserve">Băng thun cổ tay </t>
  </si>
  <si>
    <t>GIAHU - 033</t>
  </si>
  <si>
    <t xml:space="preserve">Nẹp Colles tay </t>
  </si>
  <si>
    <t>ORBE</t>
  </si>
  <si>
    <t>Nẹp gối H3 dài 40,50,60,70 cm(S,M,L.XL,XXL)</t>
  </si>
  <si>
    <t>GIAHU - 018</t>
  </si>
  <si>
    <t>Nẹp gối H5 dài 40,50,60,70 cm(S,M,L.XL)</t>
  </si>
  <si>
    <t xml:space="preserve">Nẹp gối chức năng </t>
  </si>
  <si>
    <t>Băng thun gối H1 (S,M,L,XL)</t>
  </si>
  <si>
    <t>GIAHU - 030</t>
  </si>
  <si>
    <t>Băng thun gối H2 (S,M,L,XL)</t>
  </si>
  <si>
    <t>Nẹp chống xoay ngắn H1</t>
  </si>
  <si>
    <t>GIAHU - 021</t>
  </si>
  <si>
    <t>Nẹp chống xoay dài H2 (NL-TE)</t>
  </si>
  <si>
    <t>GIAHU - 022</t>
  </si>
  <si>
    <t>Nẹp đêm ngắn H1</t>
  </si>
  <si>
    <t>GIAHU - 020</t>
  </si>
  <si>
    <t>Nẹp đêm dài H2</t>
  </si>
  <si>
    <t>GIAHU - 019</t>
  </si>
  <si>
    <t>Ankle Support (Đai số 8 cổ chân) (S,M,L,XL,XXL)</t>
  </si>
  <si>
    <t>GIAHU - 031</t>
  </si>
  <si>
    <t xml:space="preserve">Nẹp chân H1 </t>
  </si>
  <si>
    <t>Nẹp nhôm chân dài(M,L)</t>
  </si>
  <si>
    <t>Nẹp nhôm chân ngắn(M,L)</t>
  </si>
  <si>
    <t>Đệm nẹp chân dài (M,L)</t>
  </si>
  <si>
    <t>Đệm nẹp chân ngắn (M,L)</t>
  </si>
  <si>
    <t>Nẹp máng đùi lớn</t>
  </si>
  <si>
    <t>ORBEFORM 910</t>
  </si>
  <si>
    <t>Nẹp máng đùi nhỏ</t>
  </si>
  <si>
    <t>ORBEFORM 911</t>
  </si>
  <si>
    <t xml:space="preserve">Nẹp máng cánh tay </t>
  </si>
  <si>
    <t>GIAHU - 009</t>
  </si>
  <si>
    <t>Nẹp máng cánh tay nhỏ</t>
  </si>
  <si>
    <t xml:space="preserve">Nẹp máng cẳng tay </t>
  </si>
  <si>
    <t>Nẹp máng cẳng tay nhỏ</t>
  </si>
  <si>
    <t>Túi đựng đồ cấp cứu (80x42x10cm)</t>
  </si>
  <si>
    <t>TỔNG CỘNG</t>
  </si>
  <si>
    <t>(Bằng chữ: Một trăm bốn mươi hai triệu bốn trăm tám mươi bảy ngàn đồng.</t>
  </si>
  <si>
    <t>LÔ HÀNG SỐ 13</t>
  </si>
  <si>
    <t xml:space="preserve"> Nẹp xương hàm titan 4 lỗ, dài 24mm </t>
  </si>
  <si>
    <t>1 cái/ Túi</t>
  </si>
  <si>
    <t>Stema/Đức</t>
  </si>
  <si>
    <t>KC-000-004</t>
  </si>
  <si>
    <t>1 chiếc</t>
  </si>
  <si>
    <t>Công ty cổ phần công nghệ Phan Anh</t>
  </si>
  <si>
    <t xml:space="preserve"> Nẹp xương hàm titan 6 lỗ, dài 36mm </t>
  </si>
  <si>
    <t>KC-000-006</t>
  </si>
  <si>
    <t xml:space="preserve"> Nẹp xương hàm titan 8 lỗ, dài 50mm </t>
  </si>
  <si>
    <t>KC-000-008</t>
  </si>
  <si>
    <t xml:space="preserve"> Nẹp xương hàm titan 16 lỗ, dài 100mm </t>
  </si>
  <si>
    <t>KC-000-016</t>
  </si>
  <si>
    <t xml:space="preserve"> Nẹp xương hàm dưới titan 4 lỗ nén ép (dày 1.5mm, dài 32mm, lỗ vít hình quả lê) </t>
  </si>
  <si>
    <t>KD-000-004</t>
  </si>
  <si>
    <t xml:space="preserve"> Nẹp xương hàm dưới titan 6 lỗ nén ép (dày 1.5mm, dài 47mm  lỗ vít hình quả lê) </t>
  </si>
  <si>
    <t>KD-000-006</t>
  </si>
  <si>
    <t xml:space="preserve"> Nẹp xương hàm dưới titan 8 lỗ nén ép (dày 1.5mm, dài 65mm,  lỗ vít hình quả lê) </t>
  </si>
  <si>
    <t>KD-000-008</t>
  </si>
  <si>
    <t xml:space="preserve"> Nẹp góc hàm titan 6 lỗ, loại nén ép  (dày 1.5mm, dài 65mm,  lỗ vít hình quả lê) </t>
  </si>
  <si>
    <t>KD-031-006</t>
  </si>
  <si>
    <t xml:space="preserve"> Nẹp xương hàm titan cong 8 lỗ, dài 47mm </t>
  </si>
  <si>
    <t>KC-387-008</t>
  </si>
  <si>
    <t xml:space="preserve"> Lưới lót sàn ổ mắt titan (loại 3 nhánh, dày 0.4mm) </t>
  </si>
  <si>
    <t>KB-150-001</t>
  </si>
  <si>
    <t xml:space="preserve"> Vít xương sàn ổ mắt titan </t>
  </si>
  <si>
    <t>10 cái/ Túi</t>
  </si>
  <si>
    <t>KB-500-006</t>
  </si>
  <si>
    <t xml:space="preserve"> Vít  titan 2.0 </t>
  </si>
  <si>
    <t>KC-510-006</t>
  </si>
  <si>
    <t xml:space="preserve"> Vít titan 2.3 mũ vít lục lăng </t>
  </si>
  <si>
    <t>KD-500-009</t>
  </si>
  <si>
    <t xml:space="preserve"> Mũi khoan tự dừng các cỡ </t>
  </si>
  <si>
    <t>KC-850-005</t>
  </si>
  <si>
    <t xml:space="preserve"> Nẹp xương ngón bàn tay thẳng titan, dùng vít 2.3 </t>
  </si>
  <si>
    <t>Kanghui 
Metronic
/LD Mỹ</t>
  </si>
  <si>
    <t xml:space="preserve"> Nẹp xương ngón bàn tay chữ L,T,Y titan, dùng vít 2.3 </t>
  </si>
  <si>
    <t xml:space="preserve"> Vít xương ngón bàn tay titan 2.3 các cỡ </t>
  </si>
  <si>
    <t xml:space="preserve"> Nẹp xương cằm titan 4 lỗ, nén ép (dày 1.5mm, dài 34mm,  lỗ vít hình quả lê)  </t>
  </si>
  <si>
    <t>KD-021-004</t>
  </si>
  <si>
    <t xml:space="preserve"> Nẹp khóa đầu dưới xương quay chữ T titan, dùng vít 2.7 </t>
  </si>
  <si>
    <t xml:space="preserve"> Nẹp khóa giải phẫu đầu dưới xương quay titan, dùng vít 2.7 </t>
  </si>
  <si>
    <t xml:space="preserve"> Nẹp khóa xương trụ titan, dùng vít 2.7 </t>
  </si>
  <si>
    <t xml:space="preserve"> Vít khóa titan 2.7 các cỡ </t>
  </si>
  <si>
    <t xml:space="preserve"> Nẹp tự tiêu thẳng 6 lỗ các loại (dùng vít 1.5 PLT-1006, 2.0 PLT-1038) </t>
  </si>
  <si>
    <t>Inion/Phần Lan</t>
  </si>
  <si>
    <t>PLT-1038</t>
  </si>
  <si>
    <t xml:space="preserve"> Nẹp tự tiêu chữ C 7 lỗ, dùng vít 1.5 PLT-1008 </t>
  </si>
  <si>
    <t>PLT-1017</t>
  </si>
  <si>
    <t xml:space="preserve"> Nẹp tự tiêu thẳng 4 lỗ, dùng vít 2.5 PLT-1023 </t>
  </si>
  <si>
    <t>PLT-1023</t>
  </si>
  <si>
    <t xml:space="preserve"> Vít tự tiêu 1.5x6mm SCR-1223 </t>
  </si>
  <si>
    <t>5 cái/ Túi</t>
  </si>
  <si>
    <t xml:space="preserve">SCR-1223 </t>
  </si>
  <si>
    <t xml:space="preserve"> Vít tự tiêu 2.0x7mm SCR-1225 </t>
  </si>
  <si>
    <t xml:space="preserve">SCR-1225 </t>
  </si>
  <si>
    <t xml:space="preserve"> Vít tự tiêu 2.5x8mm SCR-1207 </t>
  </si>
  <si>
    <t xml:space="preserve">SCR-1207 </t>
  </si>
  <si>
    <t xml:space="preserve"> Vít tự tiêu 2.5x12mm SCR-1291 </t>
  </si>
  <si>
    <t>2 cái/ Túi</t>
  </si>
  <si>
    <t xml:space="preserve">SCR-1291 </t>
  </si>
  <si>
    <t xml:space="preserve"> Vít tự tiêu 2.8x10mm SCR-1297 </t>
  </si>
  <si>
    <t xml:space="preserve">SCR-1297 </t>
  </si>
  <si>
    <t>CỘNG</t>
  </si>
  <si>
    <t>Tổng cộng giá dự thầu của lô hàng số 13 đã bao gồm phí, lệ phí: 5.688.550.000 VNĐ</t>
  </si>
  <si>
    <t>Bằng chữ: Năm tỷ, sáu trăm tám mươi tám triệu, năm trăm năm mươi nghìn đồng</t>
  </si>
  <si>
    <t>LÔ HÀNG SỐ 14</t>
  </si>
  <si>
    <t xml:space="preserve">Băng chỉ thị nhiệt </t>
  </si>
  <si>
    <t xml:space="preserve">48 cuộn/hộp </t>
  </si>
  <si>
    <t xml:space="preserve">Cuộn </t>
  </si>
  <si>
    <t xml:space="preserve">VP - Đức </t>
  </si>
  <si>
    <t>3FKLB410102</t>
  </si>
  <si>
    <t xml:space="preserve">Công ty cổ phần thương mại và dịch vụ Y Tế Việt </t>
  </si>
  <si>
    <t xml:space="preserve">Test thử chỉ thị nhiệt hóa học đa thông số Class 4 </t>
  </si>
  <si>
    <t xml:space="preserve">250 test/hộp </t>
  </si>
  <si>
    <t xml:space="preserve">Test </t>
  </si>
  <si>
    <t xml:space="preserve">Valisafe - Anh </t>
  </si>
  <si>
    <t>V3502038</t>
  </si>
  <si>
    <t>Test thử chỉ thị nhiệt hóa học đa thông số Class 6</t>
  </si>
  <si>
    <t>V3502070</t>
  </si>
  <si>
    <t>Giấy kiểm tra chức năng lò hấp</t>
  </si>
  <si>
    <t>50 tờ/hộp</t>
  </si>
  <si>
    <t>Tờ</t>
  </si>
  <si>
    <t>V3501210</t>
  </si>
  <si>
    <t>Chỉ thị sinh học (Hấp ướt)</t>
  </si>
  <si>
    <t xml:space="preserve">Tuýp </t>
  </si>
  <si>
    <t>Tuýp</t>
  </si>
  <si>
    <t>V3504000</t>
  </si>
  <si>
    <t>Túi ép tiệt trùng dẹt 7,5cm x 200m</t>
  </si>
  <si>
    <t xml:space="preserve">4 Cuộn/thùng  </t>
  </si>
  <si>
    <t>3FKFS230104</t>
  </si>
  <si>
    <t>Túi ép tiệt trùng dẹt 15cm x 200m</t>
  </si>
  <si>
    <t xml:space="preserve">2 Cuộn/Thùng </t>
  </si>
  <si>
    <t>3FKFS230110</t>
  </si>
  <si>
    <t>Túi ép tiệt trùng dẹt 20cm x 200m</t>
  </si>
  <si>
    <t>3FKFS230112</t>
  </si>
  <si>
    <t xml:space="preserve">Túi ép tiệt trùng dẹt 30cm x 200m </t>
  </si>
  <si>
    <t>1 Cuộn/Thùng</t>
  </si>
  <si>
    <t>3FKFS230116</t>
  </si>
  <si>
    <t xml:space="preserve">Túi ép tiệt trùng phồng 30 cm x 6,5 x 100m </t>
  </si>
  <si>
    <t>3FKSS230216</t>
  </si>
  <si>
    <t xml:space="preserve">Túi ép tiệt trùng dùng trong hấp nhiệt độ thấp 38cm x 100m </t>
  </si>
  <si>
    <t>Dung dịch phun sương khử trùng bề mặt (dùng trong chạy máy)</t>
  </si>
  <si>
    <t xml:space="preserve">Can 5l </t>
  </si>
  <si>
    <t xml:space="preserve">lít </t>
  </si>
  <si>
    <t xml:space="preserve">Anios - Pháp </t>
  </si>
  <si>
    <t>1574034UZ</t>
  </si>
  <si>
    <t>Dung dịch làm sạch/khử khuẩn dụng cụ y tế và các bề mặt</t>
  </si>
  <si>
    <t>165036UG</t>
  </si>
  <si>
    <t>Dung dịch làm sạch/khử nhiễm bằng cơ chế 5 enzyme dùng cho dụng cụ y tế</t>
  </si>
  <si>
    <t>2235036UG</t>
  </si>
  <si>
    <t>Dung dịch tiệt khuẩn dụng cụ y tế không cần hoạt hóa ( khử khuẩn bậc cao )</t>
  </si>
  <si>
    <t>2504028C6</t>
  </si>
  <si>
    <t>Rửa tay diệt khuẩn dùng trong ngoại khoa</t>
  </si>
  <si>
    <t xml:space="preserve">Chai 500ml </t>
  </si>
  <si>
    <t xml:space="preserve">Chai </t>
  </si>
  <si>
    <t>2173270UG</t>
  </si>
  <si>
    <t>Sát khuẩn tay nhanh</t>
  </si>
  <si>
    <t>1644636UZ</t>
  </si>
  <si>
    <t>Diệt khuẩn trang thiết bị y tế</t>
  </si>
  <si>
    <t>Hộp 100 viên</t>
  </si>
  <si>
    <t xml:space="preserve">Viên </t>
  </si>
  <si>
    <t>Hovid Bhd  - Malaysia</t>
  </si>
  <si>
    <t>Cồn sát khuẩn tay nhanh</t>
  </si>
  <si>
    <t>Chai 1lit</t>
  </si>
  <si>
    <t>An Sinh - Việt nam</t>
  </si>
  <si>
    <t>Dung dịch rửa tay ướt</t>
  </si>
  <si>
    <t>Tổng số tiền lô hàng số 14 bằng chữ :  Một tỷ, một trăm ba mươi ba triệu, chín trăm linh sáu nghìn đồng.</t>
  </si>
  <si>
    <t>LÔ HÀNG SỐ 15</t>
  </si>
  <si>
    <t xml:space="preserve">Băng keo có gạc vô trùng  5x7cm </t>
  </si>
  <si>
    <t xml:space="preserve">50 miếng/hộp </t>
  </si>
  <si>
    <t xml:space="preserve">miếng </t>
  </si>
  <si>
    <t xml:space="preserve">Pharmaplast - Ai Cập </t>
  </si>
  <si>
    <t>Pore 705</t>
  </si>
  <si>
    <t xml:space="preserve">Băng keo có gạc vô trùng  9x15cm </t>
  </si>
  <si>
    <t>60 miếng/hộp</t>
  </si>
  <si>
    <t>Pore 9015</t>
  </si>
  <si>
    <t xml:space="preserve">Băng keo có gạc vô trùng  9x20cm </t>
  </si>
  <si>
    <t>40 miếng/hộp</t>
  </si>
  <si>
    <t>Pore 9020</t>
  </si>
  <si>
    <t xml:space="preserve">Băng keo có gạc vô trùng  9x25cm </t>
  </si>
  <si>
    <t>Pore 9025</t>
  </si>
  <si>
    <t xml:space="preserve">Băng keo có gạc vô trùng  9x30cm </t>
  </si>
  <si>
    <t>Pore 9030</t>
  </si>
  <si>
    <t xml:space="preserve">Băng trong suốt cố định kim luồn 7x6cm </t>
  </si>
  <si>
    <t xml:space="preserve">100 miếng/hộp </t>
  </si>
  <si>
    <t>Prot 706</t>
  </si>
  <si>
    <t xml:space="preserve">Băng trong suốt cố định kim luồn  10 x 12cm </t>
  </si>
  <si>
    <t>Prot 1012</t>
  </si>
  <si>
    <t xml:space="preserve">Băng cố định phẫu trường  15 x 28cm </t>
  </si>
  <si>
    <t xml:space="preserve">10 miếng/hộp </t>
  </si>
  <si>
    <t>IN1528</t>
  </si>
  <si>
    <t xml:space="preserve">Băng cố định phẫu trường  28 x 30cm </t>
  </si>
  <si>
    <t>IN3028</t>
  </si>
  <si>
    <t xml:space="preserve">Băng cố định phẫu trường  28 x 45cm </t>
  </si>
  <si>
    <t>IN2845</t>
  </si>
  <si>
    <t>Băng cố định phẫu trường  30 x 60cm</t>
  </si>
  <si>
    <t>IN3060</t>
  </si>
  <si>
    <t>Băng cố định phẫu trường  45 x 60cm</t>
  </si>
  <si>
    <t>IN4560</t>
  </si>
  <si>
    <t xml:space="preserve">Băng cố định phẫu trường có Iod  15 x 28cm </t>
  </si>
  <si>
    <t xml:space="preserve">Băng cố định phẫu trường có Iod  28 x 30cm </t>
  </si>
  <si>
    <t xml:space="preserve">Băng cố định phẫu trường có Iod  28 x 45cm </t>
  </si>
  <si>
    <t xml:space="preserve">Băng cố định phẫu trường có Iod  30 x 60cm </t>
  </si>
  <si>
    <t xml:space="preserve">Băng cố định phẫu trường có Iod  45 x 60cm </t>
  </si>
  <si>
    <t>Tổng số tiền lô hàng số 15 bằng chữ : Ba mươi bảy triệu,  sáu trăm hai mươi tư nghìn năm trăm đồng.</t>
  </si>
  <si>
    <t>LÔ HÀNG SỐ 16</t>
  </si>
  <si>
    <t>Đầu côn  xanh</t>
  </si>
  <si>
    <t>HTM 
Việt Nam</t>
  </si>
  <si>
    <t>COL-2.2</t>
  </si>
  <si>
    <t>C2019</t>
  </si>
  <si>
    <t>Công ty TNHH thiết bị y tế Minh Quang</t>
  </si>
  <si>
    <t>Đầu côn vàng</t>
  </si>
  <si>
    <t>COL-2.1.0</t>
  </si>
  <si>
    <t>C2020</t>
  </si>
  <si>
    <t>Đũa thuỷ tinh to, nhỏ</t>
  </si>
  <si>
    <t>100 cái/bó</t>
  </si>
  <si>
    <t>Sơn Hà
Việt Nam</t>
  </si>
  <si>
    <t>DTT100</t>
  </si>
  <si>
    <t>D2019</t>
  </si>
  <si>
    <t>Ống Citrat máu đông máu chảy</t>
  </si>
  <si>
    <t>CIT-3,8%</t>
  </si>
  <si>
    <t>C2018</t>
  </si>
  <si>
    <t xml:space="preserve">Ống máu đông Serum </t>
  </si>
  <si>
    <t>SER-2</t>
  </si>
  <si>
    <t>S2018</t>
  </si>
  <si>
    <t>KY Bôi trơn (82g)</t>
  </si>
  <si>
    <t>10 tuýp/hộp</t>
  </si>
  <si>
    <t>Johnson
Pháp</t>
  </si>
  <si>
    <t>KY82G</t>
  </si>
  <si>
    <t>K2018</t>
  </si>
  <si>
    <t>Lọ chứa đờm có nắp 4cm x 6 cm (Loại trắng trong)</t>
  </si>
  <si>
    <t>500 cái/kiện</t>
  </si>
  <si>
    <t>Midiplas
Việt Nam</t>
  </si>
  <si>
    <t>LOD0406</t>
  </si>
  <si>
    <t>L2019</t>
  </si>
  <si>
    <t>La men đôi</t>
  </si>
  <si>
    <t>1000 cái/hộp</t>
  </si>
  <si>
    <t>Marienfeld
Đức</t>
  </si>
  <si>
    <t>LAM2240</t>
  </si>
  <si>
    <t>La men 20*20</t>
  </si>
  <si>
    <t>LAM2020</t>
  </si>
  <si>
    <t>Lam kính mài và không mài</t>
  </si>
  <si>
    <t>72 cái/hộp</t>
  </si>
  <si>
    <t>NingBo
Trung Quốc</t>
  </si>
  <si>
    <t>LK-71027105</t>
  </si>
  <si>
    <t xml:space="preserve">Mỡ điện não   </t>
  </si>
  <si>
    <t>Pass/hộp</t>
  </si>
  <si>
    <t>Bát</t>
  </si>
  <si>
    <t>Nihonkoden
Nhật</t>
  </si>
  <si>
    <t>PAS2018</t>
  </si>
  <si>
    <t>P2018</t>
  </si>
  <si>
    <t xml:space="preserve">Mỡ siêu âm </t>
  </si>
  <si>
    <t>5 lít/can</t>
  </si>
  <si>
    <t>Megasonic 
LD Việt - Pháp</t>
  </si>
  <si>
    <t>MSA02</t>
  </si>
  <si>
    <t>M2018</t>
  </si>
  <si>
    <t>Ống EDTA nút xanh</t>
  </si>
  <si>
    <t>EDT-K2</t>
  </si>
  <si>
    <t>E2018</t>
  </si>
  <si>
    <t>Ống Eppendofl sinh hoá 1,5ml</t>
  </si>
  <si>
    <t>EPD-6.05</t>
  </si>
  <si>
    <t>E2019</t>
  </si>
  <si>
    <t>Ống nghiệm  0,8*12 thủy tinh</t>
  </si>
  <si>
    <t>2000 cái/kiện</t>
  </si>
  <si>
    <t>OTT0812</t>
  </si>
  <si>
    <t>O2019</t>
  </si>
  <si>
    <t>Ống nghiệm  12*12 thủy tinh</t>
  </si>
  <si>
    <t>OTT1212</t>
  </si>
  <si>
    <t>Que cấy vi khuẩn</t>
  </si>
  <si>
    <t xml:space="preserve"> Mida
Việt Nam</t>
  </si>
  <si>
    <t>QUE0518</t>
  </si>
  <si>
    <t>Q2019</t>
  </si>
  <si>
    <t>Tăm bông vô trùng</t>
  </si>
  <si>
    <t>TAM002</t>
  </si>
  <si>
    <t>T2019</t>
  </si>
  <si>
    <t>Tuýp nước tiểu thuỷ tinh 16x16</t>
  </si>
  <si>
    <t>OTT1616</t>
  </si>
  <si>
    <t>Tăm bông tỵ hầu</t>
  </si>
  <si>
    <t>Italia</t>
  </si>
  <si>
    <t>TAM001</t>
  </si>
  <si>
    <t>Hộp Petri 10-12 cm ( Thuỷ tinh )</t>
  </si>
  <si>
    <t>10 đĩa/hộp</t>
  </si>
  <si>
    <t>Đĩa</t>
  </si>
  <si>
    <t>PET1012</t>
  </si>
  <si>
    <t>P2019</t>
  </si>
  <si>
    <t>Tổng số tiền theo lô hàng số 16 :</t>
  </si>
  <si>
    <t>Bằng chữ: Bảy trăm năm mươi chín triệu sáu trăm năm mươi ngàn đồng.</t>
  </si>
  <si>
    <t>LÔ HÀNG SỐ 17</t>
  </si>
  <si>
    <t xml:space="preserve"> Vật liệu cầm máu 8x5x1 cm </t>
  </si>
  <si>
    <t>Hộp/20 miếng</t>
  </si>
  <si>
    <t>Gelita/ Đức</t>
  </si>
  <si>
    <t>GS-010</t>
  </si>
  <si>
    <t>Công ty Cổ Phần Trang Thiết Bị Y Tế Cổng Vàng</t>
  </si>
  <si>
    <t xml:space="preserve"> Vật liệu cầm máu 1x1x1 cm </t>
  </si>
  <si>
    <t>Hộp/50 miếng</t>
  </si>
  <si>
    <t>GS-310</t>
  </si>
  <si>
    <t xml:space="preserve"> Gạc cầm máu tự tiêu  5x7 cm </t>
  </si>
  <si>
    <t>Hộp/12 miếng</t>
  </si>
  <si>
    <t>GC-507</t>
  </si>
  <si>
    <t xml:space="preserve"> Dẫn lưu dịch não tủy V-P Shunt (Áp lực trung bình hoặc thấp) </t>
  </si>
  <si>
    <t>Hộp/ 1 Bộ</t>
  </si>
  <si>
    <t>Wellong/ Đài Loan</t>
  </si>
  <si>
    <t>WL001,WL002 WL003,WL007</t>
  </si>
  <si>
    <t xml:space="preserve"> Dẫn lưu dịch não tủy ra ngoài EDMS </t>
  </si>
  <si>
    <t>WL004</t>
  </si>
  <si>
    <t xml:space="preserve"> Lưới titan vá sọ 150x150 mm </t>
  </si>
  <si>
    <t>Túi/ 1 miếng</t>
  </si>
  <si>
    <t>Anton Hipp/ Đức</t>
  </si>
  <si>
    <t>AN11.165.06</t>
  </si>
  <si>
    <t xml:space="preserve"> Vít titan Mini 2.0, các cỡ </t>
  </si>
  <si>
    <t>Túi/ 10 cái</t>
  </si>
  <si>
    <t>AN12.510.06</t>
  </si>
  <si>
    <t xml:space="preserve"> Mũi khoan đường kính 1.5 mm </t>
  </si>
  <si>
    <t>Túi/ 1 cái</t>
  </si>
  <si>
    <t>AN12.854.70</t>
  </si>
  <si>
    <t xml:space="preserve">Vít titan Mini 2.0, các cỡ; tự khoan, tự taro </t>
  </si>
  <si>
    <t>AN12.516.05</t>
  </si>
  <si>
    <t xml:space="preserve"> Thanh luồn dưới da (Dùng cho bộ dẫn lưu não thất ổ bụng) </t>
  </si>
  <si>
    <t>Hộp/ 1 cái</t>
  </si>
  <si>
    <t>WL005</t>
  </si>
  <si>
    <t xml:space="preserve"> Nẹp cố định xương sọ (Loại không dùng vít) </t>
  </si>
  <si>
    <t>AN12.000.20</t>
  </si>
  <si>
    <t xml:space="preserve"> Lưới vá sọ titan 70x79mm </t>
  </si>
  <si>
    <t>AN11.160.06</t>
  </si>
  <si>
    <t xml:space="preserve"> Lưới vá sọ titan 52x66mm </t>
  </si>
  <si>
    <t>NM503004122B</t>
  </si>
  <si>
    <t xml:space="preserve"> Nẹp titan Mini 2.0, thẳng 20 lỗ (Dày từ 0.5 đến 1mm) </t>
  </si>
  <si>
    <t xml:space="preserve"> Nẹp titan Mini 2.0, thẳng 6 lỗ (Dày từ 0.5 đến 1mm)  </t>
  </si>
  <si>
    <t>AN12.000.06</t>
  </si>
  <si>
    <t xml:space="preserve"> Nẹp titan Mini 2.0, thẳng 4 lỗ (Dày từ 0.5 đến 1mm)  </t>
  </si>
  <si>
    <t>AN12.000.04</t>
  </si>
  <si>
    <t xml:space="preserve"> Bộ bơm xi măng cột sống kèm kim sinh thiết loại hai kim  </t>
  </si>
  <si>
    <t>Teknimed/ Pháp</t>
  </si>
  <si>
    <t>T040320Z T06043…</t>
  </si>
  <si>
    <t xml:space="preserve"> Miếng xốp phủ vết thương hở loại phủ bạc khử khuẩn cỡ trung bình </t>
  </si>
  <si>
    <t>GS010A</t>
  </si>
  <si>
    <t xml:space="preserve"> Dẫn lưu kín vết mổ (Loại 400ml) </t>
  </si>
  <si>
    <t>GS010B</t>
  </si>
  <si>
    <t xml:space="preserve"> Gạc cầm máu tự tiêu 10x20cm </t>
  </si>
  <si>
    <t>GC-540</t>
  </si>
  <si>
    <t>Bằng chữ: Hai tỷ, bốn trăm tám mươi mốt triệu, tám trăm lẻ ba ngàn đồng.</t>
  </si>
  <si>
    <t>LÔ HÀNG SỐ 18</t>
  </si>
  <si>
    <t>Catheter tĩnh mạch trung tâm 3 đường 7F, dài 20cm</t>
  </si>
  <si>
    <t>Hãng: Biosensors Nước sản xuất: Singapore</t>
  </si>
  <si>
    <t>CV703-20</t>
  </si>
  <si>
    <t xml:space="preserve">không có </t>
  </si>
  <si>
    <t xml:space="preserve"> Công ty TNHH Thương mại và Dịch vụ Kỹ thuật Việt Thái</t>
  </si>
  <si>
    <t>Catheter tĩnh mạch trung tâm 2 đường 7F, dài 20cm</t>
  </si>
  <si>
    <t>CV702-20</t>
  </si>
  <si>
    <t>Catheter tĩnh mạch trung tâm 2 đường 5.5F, dài 10cm</t>
  </si>
  <si>
    <t>CV502-10</t>
  </si>
  <si>
    <t>Đầu Dome phục vụ đo huyết áp xâm lấn</t>
  </si>
  <si>
    <t>25 cái/hộp</t>
  </si>
  <si>
    <t>BTR-3</t>
  </si>
  <si>
    <t>Catheter Forgatty 2F đến 7F</t>
  </si>
  <si>
    <t>EL</t>
  </si>
  <si>
    <t>Manifond 2 đường</t>
  </si>
  <si>
    <t>2GMF</t>
  </si>
  <si>
    <t>Manifond 3 đường</t>
  </si>
  <si>
    <t>TA3000</t>
  </si>
  <si>
    <t>Điện cực tán sỏi ngoài cơ thể</t>
  </si>
  <si>
    <t>25 chiếc/hộp</t>
  </si>
  <si>
    <t>Chiếc</t>
  </si>
  <si>
    <t>Hãng: Medipec Nước sản xuất: Mỹ - Isreal</t>
  </si>
  <si>
    <t>SE-1-A999</t>
  </si>
  <si>
    <t>Ống đặt nội khí quản lò xo có khớp (Cớp)</t>
  </si>
  <si>
    <t>10 chiếc/hộp</t>
  </si>
  <si>
    <t>Hãng: Nonchange
Nước sản xuất: Trung Quốc</t>
  </si>
  <si>
    <t xml:space="preserve">NCS-713-31 đến NCS-713-45 </t>
  </si>
  <si>
    <t>Sensor đo SPO2 dùng cho trẻ sơ sinh loại dán</t>
  </si>
  <si>
    <t>24 chiếc/hộp</t>
  </si>
  <si>
    <t>Hãng: Covidien
Nước sản xuất: Mỹ</t>
  </si>
  <si>
    <t>MAXNI</t>
  </si>
  <si>
    <t>Ống nội khí quản có cớp</t>
  </si>
  <si>
    <t>Tùy chọn các số</t>
  </si>
  <si>
    <r>
      <t>Tổng cộng:</t>
    </r>
    <r>
      <rPr>
        <i/>
        <sz val="7"/>
        <rFont val="Arial"/>
        <family val="2"/>
      </rPr>
      <t>(Bằng chữ: Sáu trăm linh hai triệu sáu trăm nghìn đồng chẵn)</t>
    </r>
    <r>
      <rPr>
        <sz val="7"/>
        <rFont val="Arial"/>
        <family val="2"/>
      </rPr>
      <t xml:space="preserve">
</t>
    </r>
  </si>
  <si>
    <t>LÔ HÀNG SỐ 19</t>
  </si>
  <si>
    <t xml:space="preserve"> Ống Khí Quản có bóng các số  </t>
  </si>
  <si>
    <t>Covidien Kendall - Thái Lan</t>
  </si>
  <si>
    <t>Endo cuffed</t>
  </si>
  <si>
    <t xml:space="preserve"> Ống Khí Quản kèm ống hút các số  </t>
  </si>
  <si>
    <t>TaperGuard Evac</t>
  </si>
  <si>
    <t xml:space="preserve"> Ống thông khí quản trái, phải 2 nòng các số (Ca) </t>
  </si>
  <si>
    <t>Túi 1 cái</t>
  </si>
  <si>
    <t>Covidien Mallinckrodt - Ireland</t>
  </si>
  <si>
    <t>Broncho Cath left/right</t>
  </si>
  <si>
    <t xml:space="preserve"> Thông hút đờm nhớt các số </t>
  </si>
  <si>
    <t>Túi 10 cái</t>
  </si>
  <si>
    <t>Suction tube</t>
  </si>
  <si>
    <t xml:space="preserve"> Ống thông dạ dày các số  </t>
  </si>
  <si>
    <t>Stomach tube</t>
  </si>
  <si>
    <t xml:space="preserve"> Ống nuôi ăn dạ dày lưu dài ngày số 14 </t>
  </si>
  <si>
    <t>Unweighted Kangaroo Feed tube</t>
  </si>
  <si>
    <t xml:space="preserve"> Ống Thông tiểu Foley 2 nhánh các số </t>
  </si>
  <si>
    <t>Covidien Kendall - Malaysia</t>
  </si>
  <si>
    <t>Foley 2 ways No.12,14,16,18,20,22,24</t>
  </si>
  <si>
    <t xml:space="preserve"> Ống Thông tiểu Foley3 nhánh các số </t>
  </si>
  <si>
    <t>Foley 3 ways</t>
  </si>
  <si>
    <t xml:space="preserve"> Thông dẫn lưu lồng ngực các số </t>
  </si>
  <si>
    <t>Thoracic catheter</t>
  </si>
  <si>
    <t xml:space="preserve"> Chạc 3 dịch truyền</t>
  </si>
  <si>
    <t>Becton Dickinson - Thụy Điển</t>
  </si>
  <si>
    <t>Connecta Plus 3 white</t>
  </si>
  <si>
    <t xml:space="preserve"> Canuyl mở khí quản 2 nòng có bóng không cửa sổ </t>
  </si>
  <si>
    <t>Hộp 1 cái</t>
  </si>
  <si>
    <t>Shiley LPC</t>
  </si>
  <si>
    <t xml:space="preserve"> Canuyl mở khí quản 2 nòng có bóng có cửa sổ </t>
  </si>
  <si>
    <t>Shiley FEN</t>
  </si>
  <si>
    <t xml:space="preserve"> Canuyl mở khí quản 2 nòng  không bóng không cửa sổ </t>
  </si>
  <si>
    <t>Shiley CFS</t>
  </si>
  <si>
    <t>Cộng lô 19:</t>
  </si>
  <si>
    <r>
      <t>* Tổng cộng giá dự thầu của lô hàng số 19: 1.128.930.600 đồng (</t>
    </r>
    <r>
      <rPr>
        <i/>
        <sz val="7"/>
        <rFont val="Arial"/>
        <family val="2"/>
      </rPr>
      <t>Một tỷ, một trăm hai mươi tám triệu, chín trăm ba mươi nghìn, sáu trăm đồng./.)</t>
    </r>
  </si>
  <si>
    <t>LÔ HÀNG SỐ 20</t>
  </si>
  <si>
    <t>Dây truyền máu, kim 18G</t>
  </si>
  <si>
    <t>túi 20 bộ</t>
  </si>
  <si>
    <t>Doo Won /Hàn Quốc</t>
  </si>
  <si>
    <t>DTMD</t>
  </si>
  <si>
    <t>Kim lấy thuốc</t>
  </si>
  <si>
    <t>hộp 100 cái</t>
  </si>
  <si>
    <t>Vinahankook/VN</t>
  </si>
  <si>
    <t>KLT01</t>
  </si>
  <si>
    <t>Kim luồn tĩnh mạch ngoại vi</t>
  </si>
  <si>
    <t>hộp 50 cái</t>
  </si>
  <si>
    <t>KLTMK</t>
  </si>
  <si>
    <t>Dây nối truyền dịch</t>
  </si>
  <si>
    <t>Comcord/ Malaysia</t>
  </si>
  <si>
    <t>DBTDB</t>
  </si>
  <si>
    <t>Bóng đèn mổ 24V-150W</t>
  </si>
  <si>
    <t>hộp 1 cái</t>
  </si>
  <si>
    <t>OSRAM - Đức</t>
  </si>
  <si>
    <t>BDHO</t>
  </si>
  <si>
    <t>Bóng đèn mổ 24V-250W</t>
  </si>
  <si>
    <t>Bóng đèn mổ 15V-250W</t>
  </si>
  <si>
    <t>BDHOS</t>
  </si>
  <si>
    <t>Lam kính</t>
  </si>
  <si>
    <t>thùng 50 hộp</t>
  </si>
  <si>
    <t>Yangchen Jingwei-TQ</t>
  </si>
  <si>
    <t>LK</t>
  </si>
  <si>
    <t>Phin lọc khuẩn</t>
  </si>
  <si>
    <t>Comcord-Malaysia</t>
  </si>
  <si>
    <t>FLK</t>
  </si>
  <si>
    <t>Mặt nạ khí dung + bầu thuốc</t>
  </si>
  <si>
    <t>MKD</t>
  </si>
  <si>
    <t>Mark thở ô xy có túi</t>
  </si>
  <si>
    <t>MOK</t>
  </si>
  <si>
    <t>Miếng vá tim cỡ 15,2cm*15,2 cm</t>
  </si>
  <si>
    <t>miếng</t>
  </si>
  <si>
    <t>Medtronic - Mỹ</t>
  </si>
  <si>
    <t>MVT15.2</t>
  </si>
  <si>
    <t>Cộng lô 20:</t>
  </si>
  <si>
    <r>
      <t>* Tổng cộng giá dự thầu của lô hàng số 20: 736.654.000 đồng (</t>
    </r>
    <r>
      <rPr>
        <i/>
        <sz val="7"/>
        <rFont val="Arial"/>
        <family val="2"/>
      </rPr>
      <t>Bảy trăm ba mươi sáu triệu, sáu trăm năm mươi tư nghìn đồng chẵn./.)</t>
    </r>
  </si>
  <si>
    <t>LÔ HÀNG SỐ 21</t>
  </si>
  <si>
    <t>Băng dính dán mắt</t>
  </si>
  <si>
    <t>100 miếng/hộp</t>
  </si>
  <si>
    <t>BDM.1</t>
  </si>
  <si>
    <t>Công ty TNHH Đầu tư Công nghệ Bách Việt</t>
  </si>
  <si>
    <r>
      <rPr>
        <sz val="7"/>
        <color indexed="8"/>
        <rFont val="Arial"/>
        <family val="2"/>
      </rPr>
      <t>Dung dịch nhuộm bao Trypan Blue 0,06mg/ml dùng trong phẫu thuật mắt</t>
    </r>
  </si>
  <si>
    <t>5 lọ/hộp</t>
  </si>
  <si>
    <t>Lọ</t>
  </si>
  <si>
    <t>Sunways - Ấn Độ</t>
  </si>
  <si>
    <t>NB</t>
  </si>
  <si>
    <r>
      <rPr>
        <sz val="7"/>
        <color indexed="8"/>
        <rFont val="Arial"/>
        <family val="2"/>
      </rPr>
      <t>Dao mổ phaco 2.2 đến 3.2mm (Clear Corneal Knifes)      Model: CCR-22-&gt;32AGF                                                    Chất liệu: Thép không gỉ</t>
    </r>
  </si>
  <si>
    <t>Cái</t>
  </si>
  <si>
    <t>Kai - Nhật Bản</t>
  </si>
  <si>
    <t>D2.8</t>
  </si>
  <si>
    <r>
      <rPr>
        <sz val="7"/>
        <color indexed="8"/>
        <rFont val="Arial"/>
        <family val="2"/>
      </rPr>
      <t>Dao mổ phaco 15 độ (Stab Knifes)                                       Model: A-15F                                                                               Chất liệu: Thép không gỉ</t>
    </r>
  </si>
  <si>
    <t>D15</t>
  </si>
  <si>
    <r>
      <rPr>
        <sz val="7"/>
        <color indexed="8"/>
        <rFont val="Arial"/>
        <family val="2"/>
      </rPr>
      <t>Dịch nhầy Curagel 2%, ống 2ml, không bọt khí (HPMC 2%) Sản phẩm không bọt khí, đàn hồi trọng lượng phân tử cao để duy trì độ sâu tiền phòng trong quá trình phẫu thuật mắt. Sản phẩm vô trùng, không có chất gây sốt. Đặc điểm: Hydroxypropyl methylcellulose 2.0%</t>
    </r>
  </si>
  <si>
    <t>1 ống/hộp</t>
  </si>
  <si>
    <t>Hộp</t>
  </si>
  <si>
    <t>Curamed - Hà Lan</t>
  </si>
  <si>
    <t>N.HL</t>
  </si>
  <si>
    <r>
      <rPr>
        <sz val="7"/>
        <color indexed="8"/>
        <rFont val="Arial"/>
        <family val="2"/>
      </rPr>
      <t>Dịch nhầy Hyprosol 2%, ống 2ml (Hypromellose 2% in B.S.S)</t>
    </r>
  </si>
  <si>
    <t>N.AĐ</t>
  </si>
  <si>
    <r>
      <rPr>
        <sz val="7"/>
        <color indexed="8"/>
        <rFont val="Arial"/>
        <family val="2"/>
      </rPr>
      <t xml:space="preserve">Thủy tinh thể nhân tạo mềm/ Tek - Lens II; Model: 811
Thủy tinh thể mềm một 1 mảnh, chất liệu Hydrophilic Acrylic, lọc tia cực tím UV, lọc ánh sáng xanh.                 Thiết kế optic phi cầu Aspheric, hai mặt cầu lồi, rìa và càng kính thiết kế bờ vuông góc 360◦ chống đục bao sau. Chỉ số khúc xạ 1.457 tại nhiệt độ 35◦C . Khả năng cho phép ánh sáng xuyên qua trên 90%. Đường kính optic 6.00 mm, chiều dài kính 12.5 mm. Dãy diopter từ -10.0 D đến + 42.0 D; A-Constant : 118.2; Đóng gói dạng hộp một chiếc, thiết kế một mảnh.         </t>
    </r>
  </si>
  <si>
    <t>Tekia - Mỹ</t>
  </si>
  <si>
    <t>TTT811</t>
  </si>
  <si>
    <t>0459</t>
  </si>
  <si>
    <t>Cassette dùng cho máy mổ phaco</t>
  </si>
  <si>
    <t>06 cái/Hộp</t>
  </si>
  <si>
    <t>Bausch &amp;Lomb - Mỹ</t>
  </si>
  <si>
    <t>CS</t>
  </si>
  <si>
    <t xml:space="preserve">
Thủy tinh thể mềm nhân tạo Acriva BB
Model: BB UD 613
- Chất liệu: Hydrophilic Acrylic 25% ngậm nước kết hợp hydrophobic bề mặt (Chất liệu Conbination tối ưu) , lọc tia cực tím UV, máu vàng lọc ánh sáng xanh.
- Thiết kế: 1 mảnh, phi cầu Aspheric khử quang sai sau mổ, gờ vuông 360độ chống đục bao sau PCO.
- Thiết kế càng: Hình C, nghiêng 0 độ (thiết kế tối ưu cho việc định tâm, chống lệch trục quang học)
- Đường kính Optic: 6.00 mm
- Đường kính tổng thể: 13.00 mm
- Chỉ số khúc xạ khô: 1.509±0.002 tại 20độ/35độ
- Chỉ số khúc xạ ẩm: 1.462± 0.002 tại 20độ/35độ
- Hắng số A Constant: 118.0
- Dải số khúc xạ: -20.0D đến 45.0D
- Quy cách: 1 cái / Hộp
- Tiêu chuẩn: ISO, CE...
</t>
  </si>
  <si>
    <t>01 cái/hộp</t>
  </si>
  <si>
    <t>VSY Biotechnology</t>
  </si>
  <si>
    <t>TTTBB 613</t>
  </si>
  <si>
    <t>0481</t>
  </si>
  <si>
    <t xml:space="preserve">
Thủy tinh thể mềm nhân tạo Acriva
Model: UD 613
- Chất liệu: Hydrophilic Acrylic 25% ngậm nước kết hợp hydrophobic bề mặt (Chất liệu Conbination tối ưu) , lọc tia cực tím UV.
- Thiết kế: 1 mảnh, phi cầu Aspheric khử quang sai sau mổ, gờ vuông 360độ chống đục bao sau PCO.
- Thiết kế càng: Hình C, nghiêng 0 độ (thiết kế tối ưu cho việc định tâm, chống lệch trục quang học)
- Đường kính Optic: 6.00 mm
- Đường kính tổng thể: 13.00 mm
- Chỉ số khúc xạ khô: 1.509±0.002 tại 20độ/35độ
- Chỉ số khúc xạ ẩm: 1.462± 0.002 tại 20độ/35độ
- Hắng số A Constant: 118.0
- Dải số khúc xạ: -20.0D đến 32.0D
- Quy cách: 1 cái / Hộp
- Tiêu chuẩn: ISO, CE...
</t>
  </si>
  <si>
    <t>TTT613</t>
  </si>
  <si>
    <t>Súng đặt thủy thể /Cartridge vết mổ 2.2-2.8</t>
  </si>
  <si>
    <t>01 cái/túi</t>
  </si>
  <si>
    <t>S</t>
  </si>
  <si>
    <r>
      <rPr>
        <sz val="7"/>
        <color indexed="8"/>
        <rFont val="Arial"/>
        <family val="2"/>
      </rPr>
      <t xml:space="preserve">Dao mổ Crescent (Dao tạo vạt ngoài bao). Model: CPU-22AGF/CPU-26AGF. Chất liệu: Thép không gỉ  </t>
    </r>
  </si>
  <si>
    <t>05 cái/ hộp</t>
  </si>
  <si>
    <t>D.C</t>
  </si>
  <si>
    <t>Tổng cộng lô hàng số 21</t>
  </si>
  <si>
    <t>Tổng cộng giá dự thầu đã bao gồm thuế, phí, lệ phí là: 1.028.050.000 đồng</t>
  </si>
  <si>
    <t>Bằng chữ: Một tỷ, không trăm hai mươi tám triệu, không trăm năm mươi ngàn đồng chẵn./.</t>
  </si>
  <si>
    <t>LÔ HÀNG SỐ 22</t>
  </si>
  <si>
    <t xml:space="preserve"> Nẹp khóa đầu dưới xương quay phải, trái, các loại, Titan </t>
  </si>
  <si>
    <t>Intercus - CHLB Đức - G7</t>
  </si>
  <si>
    <t>750.592xxx</t>
  </si>
  <si>
    <t xml:space="preserve"> Công ty TNHH Hà Nội IEC</t>
  </si>
  <si>
    <t xml:space="preserve"> Nẹp khóa lòng máng, các cỡ, Titan </t>
  </si>
  <si>
    <t>750.5984xx</t>
  </si>
  <si>
    <t xml:space="preserve"> Nẹp khóa mắt xích, các cỡ, Titan </t>
  </si>
  <si>
    <t>750.5981xx</t>
  </si>
  <si>
    <t xml:space="preserve"> Nẹp khóa đầu trên xương cánh tay, các cỡ, các loại, Titan </t>
  </si>
  <si>
    <t>900.5901xx</t>
  </si>
  <si>
    <t xml:space="preserve"> Nẹp khóa chữ Y đầu dưới xương cánh tay, trái, phải, các cỡ, các loại, Titan </t>
  </si>
  <si>
    <t>750.593xxx</t>
  </si>
  <si>
    <t xml:space="preserve"> Nẹp khóa ốp mâm chày ngoài, trong, phải, trái, các cỡ, Titan </t>
  </si>
  <si>
    <t>900.596xxx/
750.596xxx</t>
  </si>
  <si>
    <t xml:space="preserve"> Nẹp khóa chữ T mâm chày giữa, phải trái, các cỡ, Titan </t>
  </si>
  <si>
    <t>900.596xxx</t>
  </si>
  <si>
    <t xml:space="preserve"> Nẹp khóa đầu dưới xương chày, phải, trái, các cỡ, Titan </t>
  </si>
  <si>
    <t>900.596xxx/
750.596xxx/
750.597xxx</t>
  </si>
  <si>
    <t xml:space="preserve"> Nẹp khóa bản hẹp, các cỡ, Titan </t>
  </si>
  <si>
    <t>900.5351xx</t>
  </si>
  <si>
    <t xml:space="preserve"> Nẹp khóa bản rộng, các cỡ, Titan </t>
  </si>
  <si>
    <t>900.5352xx</t>
  </si>
  <si>
    <t xml:space="preserve"> Nẹp khóa bản nhỏ, thẳng, các cỡ, Titan </t>
  </si>
  <si>
    <t>900.5250xx</t>
  </si>
  <si>
    <t xml:space="preserve"> Nẹp khóa xương đòn, trái phải, các cỡ, các loại, Titan </t>
  </si>
  <si>
    <t>750.598xxx</t>
  </si>
  <si>
    <t xml:space="preserve"> Nẹp khóa móc xương đòn, trái, phải, các cỡ, Titan </t>
  </si>
  <si>
    <t xml:space="preserve"> Vít nén 3,5mm, các cỡ, Titan </t>
  </si>
  <si>
    <t>750.336xxx</t>
  </si>
  <si>
    <t xml:space="preserve"> Vít khóa 3,5mm, các cỡ, Titan </t>
  </si>
  <si>
    <t>750.333xxx</t>
  </si>
  <si>
    <t xml:space="preserve"> Vít xốp khóa 3,5mm, các cỡ, Titan </t>
  </si>
  <si>
    <t xml:space="preserve"> Vít nén 4,5mm, các cỡ, Titan </t>
  </si>
  <si>
    <t>750.346xxx</t>
  </si>
  <si>
    <t xml:space="preserve"> Vít khóa 4,5mm, các cỡ, Titan </t>
  </si>
  <si>
    <t>750.344xxx</t>
  </si>
  <si>
    <t xml:space="preserve"> Vít xốp khóa 5,5mm, các cỡ, Titan </t>
  </si>
  <si>
    <t>750.356xxx</t>
  </si>
  <si>
    <t xml:space="preserve"> Vít khóa 5,5mm, các cỡ, Titan </t>
  </si>
  <si>
    <t>750.355xxx</t>
  </si>
  <si>
    <t xml:space="preserve">Tổng cộng giá dự thầu của lô hàng </t>
  </si>
  <si>
    <t>Bằng chữ: Một tỷ chín trăm tám mươi triệu không trăm năm mươi ngàn đồng.</t>
  </si>
  <si>
    <t>LÔ HÀNG SỐ 23</t>
  </si>
  <si>
    <t>513</t>
  </si>
  <si>
    <t>1</t>
  </si>
  <si>
    <t>Quả lọc máu người lớn và trẻ em</t>
  </si>
  <si>
    <t>01 quả/ hộp</t>
  </si>
  <si>
    <t>10</t>
  </si>
  <si>
    <t xml:space="preserve">Hãng sx: Minntech hoặc Medivators/ Mỹ;       
Nước sx: Mỹ
</t>
  </si>
  <si>
    <t>HPH700TS; HPH400TS;
…</t>
  </si>
  <si>
    <t>1 
(Tem dán chết trên vỏ hộp sản phẩm)</t>
  </si>
  <si>
    <t>Công ty TNHH Thương mại và Dịch vụ Việt Thắng</t>
  </si>
  <si>
    <t>514</t>
  </si>
  <si>
    <t>2</t>
  </si>
  <si>
    <t>Kít thử đông máu</t>
  </si>
  <si>
    <t>50 kít/ hộp</t>
  </si>
  <si>
    <t xml:space="preserve">Kit </t>
  </si>
  <si>
    <t>Hãng sx: Medtronic/Mỹ; 
Nước sx: Mỹ</t>
  </si>
  <si>
    <t>402-03</t>
  </si>
  <si>
    <t>0</t>
  </si>
  <si>
    <t>515</t>
  </si>
  <si>
    <t>3</t>
  </si>
  <si>
    <t>Opsite 35 X 35</t>
  </si>
  <si>
    <t>10 miếng/ hộp</t>
  </si>
  <si>
    <t>Hãng sx: 
3M/ Mỹ; 
Nước sx: Mỹ</t>
  </si>
  <si>
    <t>6640;
…</t>
  </si>
  <si>
    <t>516</t>
  </si>
  <si>
    <t>4</t>
  </si>
  <si>
    <t>Bơm áp lực cao (bao gồm cả Yadptor)</t>
  </si>
  <si>
    <t>01 cái/ hộp</t>
  </si>
  <si>
    <t>Hãng sx: Perouse/ Pháp; Nước sx: Pháp</t>
  </si>
  <si>
    <t>Dolphin
0185TS;
…</t>
  </si>
  <si>
    <t>517</t>
  </si>
  <si>
    <t>5</t>
  </si>
  <si>
    <t>Canuyn động mạch, Tĩnh mạch Trẻ em đầu cong các cỡ</t>
  </si>
  <si>
    <t>10 cái/ hộp hoặc 05 cái/ hộp</t>
  </si>
  <si>
    <t>Hãng sx: Medtronic/Mỹ;
Nước sx: Mỹ, Mexico</t>
  </si>
  <si>
    <t>77006 hoặc 77106; 77008 hoặc 77108; 77010 hoặc 77110; 77012 hoặc 77112;
77014 hoặc 77114;
77016 hoặc 77116;
…</t>
  </si>
  <si>
    <t>518</t>
  </si>
  <si>
    <t>6</t>
  </si>
  <si>
    <r>
      <t>Canuyn DLP động mạch, Người lớn các cỡ</t>
    </r>
    <r>
      <rPr>
        <sz val="11"/>
        <color indexed="8"/>
        <rFont val="Times New Roman"/>
        <family val="1"/>
      </rPr>
      <t/>
    </r>
  </si>
  <si>
    <t>519</t>
  </si>
  <si>
    <t>7</t>
  </si>
  <si>
    <t xml:space="preserve">Canuyn DLP tĩnh mạch, các cỡ
</t>
  </si>
  <si>
    <t>Hãng sx: Medtronic/Mỹ; Nước sx: Mỹ, Mexico</t>
  </si>
  <si>
    <t>520</t>
  </si>
  <si>
    <t>8</t>
  </si>
  <si>
    <t>Dây dẫn chẩn đoán mạch vành và mạch ngoại vi Starter Guidewire phủ PTFE, ứng dụng công nghệ Pre-coat</t>
  </si>
  <si>
    <t>05 cái hộp hoặc 10 cái/ hộp</t>
  </si>
  <si>
    <t>Hãng sx: Boston Scientific/ Mỹ; Nước sx: Mỹ, Ireland</t>
  </si>
  <si>
    <t>Starter Guidewire
M00149xxxx;
…</t>
  </si>
  <si>
    <t>521</t>
  </si>
  <si>
    <t>9</t>
  </si>
  <si>
    <t>Catheter chụp động mạch vành Impulse, ứng dụng công nghệ Flextrusion đủ các dạng đầu cong: FL, FR, AL, AR, MP, CLB, RCB, IM, IMC, PIG, SON, CAS, Kimny, Radial, …</t>
  </si>
  <si>
    <t>05 cái /hộp</t>
  </si>
  <si>
    <t>Hãng sx: Boston Scientific/ Mỹ; Nước sx: Mỹ, Mexico</t>
  </si>
  <si>
    <t>Impulse
H74916391xx2;
H74916391xxx2;
…</t>
  </si>
  <si>
    <t>522</t>
  </si>
  <si>
    <t>Dây dẫn can thiệp mạch vành ái nước PT2 loại Nitinol phủ Polymer</t>
  </si>
  <si>
    <t xml:space="preserve">Hãng sx: Boston Scientific/ Mỹ; Nước sx: Mỹ, Costa Rica </t>
  </si>
  <si>
    <t>PT2
H7493893xxx2;
H7493893xxxJ2;
…</t>
  </si>
  <si>
    <t>523</t>
  </si>
  <si>
    <t>11</t>
  </si>
  <si>
    <t>Catheter can thiệp mạch vành loại cứng RunWay có thiết kế bện tròn 4x2 đủ dạng đầu cong: FR, FCR, JR, ART, AR, KR, RC, VR, MP, HS, IM, IMC, LCB, RCB,  LCS, LBU, WRP, ML, KIMNY, ML, Radial…</t>
  </si>
  <si>
    <t xml:space="preserve">Hãng sx: Boston Scientific/ Mỹ; Nước sx: Mỹ, Mexico </t>
  </si>
  <si>
    <t>RunWay
H74938969xx0;
H74938969xxx0;
…</t>
  </si>
  <si>
    <t>524</t>
  </si>
  <si>
    <t>12</t>
  </si>
  <si>
    <t>Bóng nong mạch vành có dãn nở Maverick2 dùng nong trước khi đặt stent, thiết kế TrackTip, phủ Bioslide ở đầu xa, ứng dụng công nghệ Laser Bonding.</t>
  </si>
  <si>
    <t>Hãng sx: Boston Scientific/ Mỹ; Nước sx: Mỹ</t>
  </si>
  <si>
    <t>Maverick2
H74938928xxxx0;
…</t>
  </si>
  <si>
    <t>525</t>
  </si>
  <si>
    <t>13</t>
  </si>
  <si>
    <t>Bóng nong mạch vành áp lực cao NC QUANTUM Apex dùng nong sau khi đặt stent, chất liệu OptiLEAP, vạch đánh dấu bằng platinum iridium, thân Catheter công nghệ " kép Bi-segment"</t>
  </si>
  <si>
    <t>NC Quantum Apex
H74939124xxxx0;
…</t>
  </si>
  <si>
    <t>526</t>
  </si>
  <si>
    <t>14</t>
  </si>
  <si>
    <t xml:space="preserve">Điện cực tạo nhịp tim tạm thời loại không bóng phủ Heparin cỡ 5F
- Kích cỡ 5F, chiều dài 115cm
- Mã: 008154P
</t>
  </si>
  <si>
    <t>Hãng sx: Bard/ Mỹ; 
Nước sx: Mỹ</t>
  </si>
  <si>
    <t>008154P;
…</t>
  </si>
  <si>
    <t>527</t>
  </si>
  <si>
    <t>15</t>
  </si>
  <si>
    <t>Miếng vá tim chất liệu Polyester Felt kích thước 1,65mm x 15.2cm x 15.2cm</t>
  </si>
  <si>
    <t>5 miếng/ hộp</t>
  </si>
  <si>
    <t>008972;
…</t>
  </si>
  <si>
    <t>Tổng cộng giá dự thầu của lô hàng hóa đã bao gồm thuế, phí, lệ phí:</t>
  </si>
  <si>
    <t>(Bằng chữ: Hai tỷ, hai trăm bốn mươi lăm triệu, ba trăm năm mươi nghìn đồng chẵn./.)</t>
  </si>
  <si>
    <t>LÔ HÀNG SỐ 24</t>
  </si>
  <si>
    <t>Kim Chiba</t>
  </si>
  <si>
    <t>chiếc</t>
  </si>
  <si>
    <t>Cook- Mỹ</t>
  </si>
  <si>
    <t>DCHNxxx</t>
  </si>
  <si>
    <t>Công ty TNHH Xuất Nhập Khẩu Trang Thiết Bị Y Tế BMS</t>
  </si>
  <si>
    <t>Kim sinh thiết xương các loại</t>
  </si>
  <si>
    <t>Cook Mỹ</t>
  </si>
  <si>
    <t>G36xxx</t>
  </si>
  <si>
    <t>Kim sinh thiết lấy mẫu mô nhanh dùng cho sinh thiết phổi không cần dùng súng</t>
  </si>
  <si>
    <t>DFBNxxxx</t>
  </si>
  <si>
    <t>Kim sinh thiết lấy mẫu mô nhanh dùng cho sinh thiết gan, không cần dùng súng</t>
  </si>
  <si>
    <t>QC-xxx</t>
  </si>
  <si>
    <t>Kim sinh thiết lấy mẫu mô nhanh dùng cho sinh thiết thận không cần dùng súng</t>
  </si>
  <si>
    <t>GOxxx</t>
  </si>
  <si>
    <t>Dụng cụ mở đường dài vào các động mạch (Long sheath) 5Fr, 6Fr</t>
  </si>
  <si>
    <t>PLVTWxxx</t>
  </si>
  <si>
    <t>Dây dẫn can thiệp loại 0.18, 0,025 '' ái nước</t>
  </si>
  <si>
    <t>TSxxxx</t>
  </si>
  <si>
    <t>Vi dây dẫn cỡ 0.14'' cho mạch ngoại biên đầu bằng kim loại</t>
  </si>
  <si>
    <t>Institu - Mỹ</t>
  </si>
  <si>
    <t>TSTFxxx</t>
  </si>
  <si>
    <t>Vi dây dẫn cỡ 0.14'' cho mạch ngoại biên đầu mềm dài 7cm</t>
  </si>
  <si>
    <t>TPMGxxx</t>
  </si>
  <si>
    <t>Dây dẫn can thiệp ngoại biên Approach Hydro ST ( Đầu thẳng- ái nước)</t>
  </si>
  <si>
    <t>HMWxxx</t>
  </si>
  <si>
    <t>Dây dẫn can thiệp ngoại biên Approach Pro LT ( Tip đầu cong có thể định hình được)</t>
  </si>
  <si>
    <t>CMWxxx</t>
  </si>
  <si>
    <t>Catheter dùng trong can thiệp Toce gan (RH)</t>
  </si>
  <si>
    <t>Curative/Đức</t>
  </si>
  <si>
    <t>G1xxx</t>
  </si>
  <si>
    <t>Catheter chẩn đoán tạng C1, C2</t>
  </si>
  <si>
    <t>ForteGrowMedical/ 
Nhật,Việt Nam</t>
  </si>
  <si>
    <t>Catheter chụp mạch có cản quang áp lực cao</t>
  </si>
  <si>
    <t>G0xxx</t>
  </si>
  <si>
    <t>Ống thông song chụp và chẩn đoán mạch não</t>
  </si>
  <si>
    <t>Catheter chụp mạch có cản quang ái nước</t>
  </si>
  <si>
    <t>HNBRxxx</t>
  </si>
  <si>
    <t>Coil lông tắc mạch ( Coil bàng hệ ) được phủ bằng sợi Fiber các loại- các cỡ</t>
  </si>
  <si>
    <t>Terumo/ Nhật</t>
  </si>
  <si>
    <t>IMWCExxx</t>
  </si>
  <si>
    <t>Coil lông tắc mạch ( dùng trong giãn mạch tinh ) được phủ bằng sợi Fiber các loại- các cỡ</t>
  </si>
  <si>
    <t>MWCExxx</t>
  </si>
  <si>
    <t>Dụng cụ đẩy Coil lông</t>
  </si>
  <si>
    <t>JDS-xx</t>
  </si>
  <si>
    <t>Catheter Pigtail có vạch đo và nhiều lỗ bơm thuốc cản quang (khoảng cách giữa các Marker là 1cm trên 20cm) -</t>
  </si>
  <si>
    <t>TDM Singapore</t>
  </si>
  <si>
    <t>HNBxx</t>
  </si>
  <si>
    <t>Catheter có vạch đo và nhiều lỗ bơm thuốc cản quang (khoảng cách giữa các Marker bằng vàng là 2cm)-</t>
  </si>
  <si>
    <t>103Axxx</t>
  </si>
  <si>
    <t>Ống nong mạch</t>
  </si>
  <si>
    <t>JCDxxx</t>
  </si>
  <si>
    <t>Ống thông dẫn lưu đường mật - tá tràng 8.5Fr, 10,2 Fr</t>
  </si>
  <si>
    <t>Ống dẫn lưu đường mật, áp xe và các ứng dụng dẫn lưu khác</t>
  </si>
  <si>
    <t>G312xx</t>
  </si>
  <si>
    <t>Cộng:</t>
  </si>
  <si>
    <t xml:space="preserve">           Bằng chữ: Một tỷ, một trăm chín mươi triệu, không trăm tám mốt nghìn đồng./.</t>
  </si>
  <si>
    <t>LÔ HÀNG SỐ 25</t>
  </si>
  <si>
    <t>Đơn giá (VNĐ) trọn gói đã có VAT</t>
  </si>
  <si>
    <t>Dây dẫn đường cho bóng và Stent  ( GuideWire can thiệp )</t>
  </si>
  <si>
    <t>Hộp tiệt trùng</t>
  </si>
  <si>
    <t>Allwin/Mỹ</t>
  </si>
  <si>
    <t>SFTxx</t>
  </si>
  <si>
    <t>Công ty cổ phần trang thiết bị y tế Đại Dương</t>
  </si>
  <si>
    <t>Guide wire 0.035 dài 150cm - 260cm</t>
  </si>
  <si>
    <t>Lepu/ Trung Quốc</t>
  </si>
  <si>
    <t>LPxxxx</t>
  </si>
  <si>
    <t>Bộ phận kết nối chữ Y ( Manifold, Y adaptor )</t>
  </si>
  <si>
    <t>Insitu/Mỹ</t>
  </si>
  <si>
    <t>45xxxxx/ 77xxxxx</t>
  </si>
  <si>
    <t>Bóng nong ngoại biên cỡ lớn trên dây dẫn 0.035</t>
  </si>
  <si>
    <t>2100xxxx</t>
  </si>
  <si>
    <t>Bơm áp lực để nong bóng (loại không có van chữ Y)</t>
  </si>
  <si>
    <t>Minvasys/ Pháp</t>
  </si>
  <si>
    <t>PTMUxxxx</t>
  </si>
  <si>
    <t>Bóng nong động mạch vành loại áp lực thường</t>
  </si>
  <si>
    <t>PTCPxxxx</t>
  </si>
  <si>
    <t>Bóng nong động mạch vành loại áp lực cao</t>
  </si>
  <si>
    <t>AGA Medical - St.Jude/Mỹ</t>
  </si>
  <si>
    <t>9-SB-xxx</t>
  </si>
  <si>
    <t>Bóng đo kích thước lỗ Thông Liên Nhĩ (Amplatzer)</t>
  </si>
  <si>
    <t>9-GW-xxx</t>
  </si>
  <si>
    <t>Dây dẫn can thiệp Tim Bẩm Sinh (9GW)</t>
  </si>
  <si>
    <t>St.Jude/ Mỹ</t>
  </si>
  <si>
    <t>40xxxxx</t>
  </si>
  <si>
    <t>Dây dẫn ái nước chẩn đoán đầu thẳng, đầu cong (GuideRight)</t>
  </si>
  <si>
    <t>x610xxx/ 610xxx</t>
  </si>
  <si>
    <t>Dụng cụ đóng  mạch máu  (Angio-seal)</t>
  </si>
  <si>
    <t>C40xxxxx</t>
  </si>
  <si>
    <t xml:space="preserve">Dụng cụ mở đường vào mạch máu </t>
  </si>
  <si>
    <t>SCACxxxx</t>
  </si>
  <si>
    <t>Bộ dụng cụ lấy huyết khối 6F, 7F Stemicath</t>
  </si>
  <si>
    <t>9-PLUG-xxx</t>
  </si>
  <si>
    <t>Dù bít lỗ thông Động Tĩnh Mạch (PLUG)</t>
  </si>
  <si>
    <t>9-TVLPxxxx/ 9-ITV-xxxx/ 9-EITV-xxxx / 9-TV-xxxx</t>
  </si>
  <si>
    <t>Bộ Sheath để thả dù đóng lỗ thông Ống Động Mạch,Thông Liên Thất, Thông Liên Nhĩ (đặc biệt tốt cho trẻ nhỏ) (Amplatzer)</t>
  </si>
  <si>
    <t>1 bộ/ túi</t>
  </si>
  <si>
    <t>Cộng</t>
  </si>
  <si>
    <t>Bằng chữ: Hai tỷ chín trăm lẻ hai triệu năm trăm sáu mươi ngàn đồng.</t>
  </si>
  <si>
    <t>LÔ HÀNG SỐ 26</t>
  </si>
  <si>
    <t>Dụng cụ mở đường vào động mạch loại dài thân cứng có nòng lõi phù hợp cỡ dây dẫn khác nhau 0.018-0.038 inch</t>
  </si>
  <si>
    <t>Optimed - Đức</t>
  </si>
  <si>
    <t>Epsylar</t>
  </si>
  <si>
    <t>Công ty TNHH THIÊN VIỆT</t>
  </si>
  <si>
    <t>Bóng nong động mạch thận và mạch ngoại vi</t>
  </si>
  <si>
    <t>Mars; Nylo Track;</t>
  </si>
  <si>
    <t xml:space="preserve">Dây hút nối với máy bơm hút huyết khối </t>
  </si>
  <si>
    <t>Penumbra - Mỹ</t>
  </si>
  <si>
    <t>Max aspiration Tubing</t>
  </si>
  <si>
    <t>Phụ kiện bơm hút huyết khối (Bình chứa huyết khối)</t>
  </si>
  <si>
    <t>Max Canister</t>
  </si>
  <si>
    <t>Ống thông hỗ trợ thần kinh các cỡ</t>
  </si>
  <si>
    <t xml:space="preserve">Neuron Max 088; 
Neuron Delivery 070 </t>
  </si>
  <si>
    <t>Kìm cắt vòng xoắn kim loại 0.020"</t>
  </si>
  <si>
    <t>DH1</t>
  </si>
  <si>
    <t>Dây dẫn đường cho bằng Nitinol 0.018" cho bóng và stent.</t>
  </si>
  <si>
    <t>Plywire</t>
  </si>
  <si>
    <t>Bằng chữ: Sáu trăm hai mươi tám triệu năm trăm nghìn đồng./.</t>
  </si>
  <si>
    <t>LÔ HÀNG SỐ 27</t>
  </si>
  <si>
    <t>Kim chọc mạch</t>
  </si>
  <si>
    <t>Lepu - Liên doanh Đức Trung</t>
  </si>
  <si>
    <t>MMNxxx</t>
  </si>
  <si>
    <t>Công ty Cổ phần thiết bị y tế TDM</t>
  </si>
  <si>
    <t>Syringe có đầu xoáy</t>
  </si>
  <si>
    <t>LBHBxxx</t>
  </si>
  <si>
    <t>Bộ phận kết nối (Maniflod)</t>
  </si>
  <si>
    <t>LPJDxxx</t>
  </si>
  <si>
    <t>Bộ điện cực tạo nhịp tạm thời</t>
  </si>
  <si>
    <t>Biotronik/Đức</t>
  </si>
  <si>
    <t>501xxx</t>
  </si>
  <si>
    <t>Dây đo áp lực</t>
  </si>
  <si>
    <t>ForteGrowMedical/
 Nhật,Việt Nam</t>
  </si>
  <si>
    <t>LPJGxxx</t>
  </si>
  <si>
    <t>Catheter trợ giúp can thiệp các loại</t>
  </si>
  <si>
    <t>TDM-Singapore</t>
  </si>
  <si>
    <t>xxx</t>
  </si>
  <si>
    <t>Tổng</t>
  </si>
  <si>
    <t>Bằng chữ: Năm trăm năm mươi bảy triệu năm trăm chín mươi lăm ngàn đồng.</t>
  </si>
  <si>
    <t>LÔ HÀNG SỐ 28</t>
  </si>
  <si>
    <t>Chai có công tơ hút 125 ml (trắng)</t>
  </si>
  <si>
    <t>Cordian- TQ</t>
  </si>
  <si>
    <t>Dropping bottle 125</t>
  </si>
  <si>
    <t>Công tơ hút chai 125 ml (nâu)</t>
  </si>
  <si>
    <t>Cốc đong có chân 50ml</t>
  </si>
  <si>
    <t>Graduate 50</t>
  </si>
  <si>
    <t>Cốc đong có mỏ 500ml</t>
  </si>
  <si>
    <t>hộp 4 cái</t>
  </si>
  <si>
    <t>measuring cylinder</t>
  </si>
  <si>
    <t>Đèn cồn</t>
  </si>
  <si>
    <t>rời</t>
  </si>
  <si>
    <t>Que cấy</t>
  </si>
  <si>
    <t>Mỏ vịt cỡ trung</t>
  </si>
  <si>
    <t>Vaginal specular-M</t>
  </si>
  <si>
    <t>Đèn cực tím</t>
  </si>
  <si>
    <t>UV90</t>
  </si>
  <si>
    <t>Bóng đèn kính hiển vi Olympic</t>
  </si>
  <si>
    <t>Olympus</t>
  </si>
  <si>
    <t>Nikon Olympus</t>
  </si>
  <si>
    <t>Đũa thủy tinh</t>
  </si>
  <si>
    <t>bó 100 cái</t>
  </si>
  <si>
    <t>NTT- Việt Nam</t>
  </si>
  <si>
    <t>Bi thủy tinh</t>
  </si>
  <si>
    <t>túi 100 cái</t>
  </si>
  <si>
    <t>Bô can thủy tinh 3Lít có nắp</t>
  </si>
  <si>
    <t>Bô can 3 lít</t>
  </si>
  <si>
    <t>Chổi lông rửa chai</t>
  </si>
  <si>
    <t>Chổi lông rửa tuýp</t>
  </si>
  <si>
    <t>Pipep man (5-20µl)</t>
  </si>
  <si>
    <t>Gynex-Phần Lan</t>
  </si>
  <si>
    <t>Pipep man (10-100µl)</t>
  </si>
  <si>
    <t xml:space="preserve">Bình khí CO2 40 lít </t>
  </si>
  <si>
    <t>bình 40 lít</t>
  </si>
  <si>
    <t>Bình</t>
  </si>
  <si>
    <t>Bình khí CO2 40 lít</t>
  </si>
  <si>
    <t>Chai nâu nút mài 500ml (miệng rộng)</t>
  </si>
  <si>
    <t>Reagent bottle 500ml</t>
  </si>
  <si>
    <t>Chai nâu nút mài 250ml (miệng rộng)</t>
  </si>
  <si>
    <t>hộp 6 cái</t>
  </si>
  <si>
    <t>Reagent bottle 250ml</t>
  </si>
  <si>
    <t>Cốc có mỏ 100ml</t>
  </si>
  <si>
    <t>Breaker 100ml</t>
  </si>
  <si>
    <t>Cốc có mỏ 500 ml</t>
  </si>
  <si>
    <t>Breaker 500ml</t>
  </si>
  <si>
    <t>Pipep Paster</t>
  </si>
  <si>
    <t>hộp 500 cái</t>
  </si>
  <si>
    <t>Kim chích máu</t>
  </si>
  <si>
    <t>hộp 200 cái</t>
  </si>
  <si>
    <t xml:space="preserve">Bình cầu đáy bằng 500ml </t>
  </si>
  <si>
    <t>Boiling flask</t>
  </si>
  <si>
    <t xml:space="preserve">Bình cầu đáy bằng 250ml </t>
  </si>
  <si>
    <t>Hộp cắm đầu côn</t>
  </si>
  <si>
    <t>Greetmed-Trung Quốc</t>
  </si>
  <si>
    <t>Rack for blue (yellow) tips</t>
  </si>
  <si>
    <t>Giá để ống nghiệm Inox (Ø15cm)</t>
  </si>
  <si>
    <t>Bình an- Việt Nam</t>
  </si>
  <si>
    <t>Giá để ống nghiệm nước tiểu</t>
  </si>
  <si>
    <t>Giá để ống nghiệm Inox (Ø12cm)</t>
  </si>
  <si>
    <t>Giá để ống nghiệm máu</t>
  </si>
  <si>
    <t>Giá phơi lam Inox</t>
  </si>
  <si>
    <t>Giá phơi lam</t>
  </si>
  <si>
    <t>Pipet nhựa 1 ml</t>
  </si>
  <si>
    <t>Measuring pipette</t>
  </si>
  <si>
    <t>Pipet thủy tinh 2ml</t>
  </si>
  <si>
    <t>Pipett thủy tinh 1 ml</t>
  </si>
  <si>
    <t xml:space="preserve">Buồng đếm Neubaun </t>
  </si>
  <si>
    <t>Đức</t>
  </si>
  <si>
    <t>Improved Neubauer</t>
  </si>
  <si>
    <t>Bình nón thủy tinh 100ml</t>
  </si>
  <si>
    <t>Conical flask</t>
  </si>
  <si>
    <t>Máy đếm bạch cầu thủ công</t>
  </si>
  <si>
    <t>Đài Loan</t>
  </si>
  <si>
    <t>Gemmy DBC-9</t>
  </si>
  <si>
    <t>Cộng lô 28:</t>
  </si>
  <si>
    <r>
      <t>* Tổng cộng giá dự thầu của lô hàng số 28: 81.097.200 đồng (</t>
    </r>
    <r>
      <rPr>
        <i/>
        <sz val="7"/>
        <rFont val="Arial"/>
        <family val="2"/>
      </rPr>
      <t>Tám mươi mốt triệu, không trăm chín mươi bảy nghìn, hai trăm đồng./.)</t>
    </r>
  </si>
  <si>
    <t>LÔ HÀNG SỐ 29</t>
  </si>
  <si>
    <t>Vít cố định dây chằng chéo Tự tiêu các cỡ</t>
  </si>
  <si>
    <t>1 cái/ gói</t>
  </si>
  <si>
    <t>Conmed/Conmed Linvatec - Mỹ</t>
  </si>
  <si>
    <t>C80xx</t>
  </si>
  <si>
    <t xml:space="preserve">Vít cố định dây chằng chéo tự tiêu  kích thích mọc xương  các cỡ </t>
  </si>
  <si>
    <t>Conmed/Conmed Linvatec - Mỹ/Phần Lan</t>
  </si>
  <si>
    <t>23xxxxM5</t>
  </si>
  <si>
    <t xml:space="preserve">Chỉ khâu sụn chêm </t>
  </si>
  <si>
    <t>SC047D</t>
  </si>
  <si>
    <t>Chỉ siêu bền ( tép 2 sợi)</t>
  </si>
  <si>
    <t>H5100, 8535</t>
  </si>
  <si>
    <t>1 tem trên bao bì</t>
  </si>
  <si>
    <t xml:space="preserve">Vít  treo các cỡ </t>
  </si>
  <si>
    <t>T50xx</t>
  </si>
  <si>
    <t xml:space="preserve">Dây dẫn nước trong nội soi chạy bằng máy </t>
  </si>
  <si>
    <t>Conmed/Conmed Linvatec - Mỹ/ Mexico</t>
  </si>
  <si>
    <t>10k150</t>
  </si>
  <si>
    <t xml:space="preserve">Lưỡi shaver các cỡ </t>
  </si>
  <si>
    <t>92xxA; C92xx;H91xx</t>
  </si>
  <si>
    <t>Lưỡi cắt đốt bằng sóng Radio ( các loại )</t>
  </si>
  <si>
    <t>Arthrocare/Smith &amp; Nephew - Mỹ/Costarica</t>
  </si>
  <si>
    <t>ASC4250-01,ASC5000-1,ASC4830-01, AC4040-01, ASH4250-01, ASC4730-01</t>
  </si>
  <si>
    <t>Vít neo khớp vai</t>
  </si>
  <si>
    <t>C6170H</t>
  </si>
  <si>
    <t>Troca dùng trong nội soi khớp</t>
  </si>
  <si>
    <t>C9718; C7332; C7312; C7368; C7362</t>
  </si>
  <si>
    <t>Dụng cụ bơm rửa vết thương</t>
  </si>
  <si>
    <t>Zimmer - Mỹ</t>
  </si>
  <si>
    <t>5150-482</t>
  </si>
  <si>
    <t xml:space="preserve">Dẫn lưu kín vết mổ </t>
  </si>
  <si>
    <t>1cái/ gói</t>
  </si>
  <si>
    <t>2500-000-10</t>
  </si>
  <si>
    <t>Miếng dán cố định dùng cho phẫu thuật NS gối 6x7cm</t>
  </si>
  <si>
    <t>Smith &amp; Nephew - Anh</t>
  </si>
  <si>
    <t>Không tem</t>
  </si>
  <si>
    <t>Xi măng ngoại khoa có kháng sinh</t>
  </si>
  <si>
    <t>2 gói/ Hộp</t>
  </si>
  <si>
    <t>Zimmer - Mỹ/Đức</t>
  </si>
  <si>
    <t>00112124001</t>
  </si>
  <si>
    <t>Bốn tỷ không trăm năm mươi chín triệu bảy trăm năm mươi ngàn đồng.</t>
  </si>
  <si>
    <t>LÔ HÀNG SỐ 30</t>
  </si>
  <si>
    <t>Vít đơn trục các cỡ.</t>
  </si>
  <si>
    <t>Medtronic/ Mỹ</t>
  </si>
  <si>
    <t>754xxxx</t>
  </si>
  <si>
    <t>Vít đa trục các cỡ.</t>
  </si>
  <si>
    <t>7544xxxx</t>
  </si>
  <si>
    <t xml:space="preserve">Vít khoá trong                                            </t>
  </si>
  <si>
    <t xml:space="preserve">Vít khoá trong cho vít trượt                           </t>
  </si>
  <si>
    <t>Nẹp dọc</t>
  </si>
  <si>
    <t>855-011/ 869-021</t>
  </si>
  <si>
    <t>Nẹp nối ngang</t>
  </si>
  <si>
    <t>811-xxx</t>
  </si>
  <si>
    <t>Lồng titan 13mm x 30mm</t>
  </si>
  <si>
    <t>905-133</t>
  </si>
  <si>
    <t xml:space="preserve">Lồng titan 13mm x 70mm            </t>
  </si>
  <si>
    <t>905-137</t>
  </si>
  <si>
    <t xml:space="preserve">Lồng  titan16mm x 60mm    </t>
  </si>
  <si>
    <t>905-166</t>
  </si>
  <si>
    <t>Miếng ghép cổ trước các cỡ.</t>
  </si>
  <si>
    <t>627xxxx</t>
  </si>
  <si>
    <t>4 tem</t>
  </si>
  <si>
    <t>Miếng ghép cổ trước liền nẹp các cỡ.</t>
  </si>
  <si>
    <t>4210xxx</t>
  </si>
  <si>
    <t>Vít Tital tự khoan cho miếng gép cổ liền nẹpcác cỡ.</t>
  </si>
  <si>
    <t>8792xxx</t>
  </si>
  <si>
    <t xml:space="preserve">Vít ốc khoá trong cột sống cổ sau                 </t>
  </si>
  <si>
    <t>Vít xốp đa trục cột sống cổ sau  các cỡ.</t>
  </si>
  <si>
    <t>6958xxx</t>
  </si>
  <si>
    <t>Vít cứng đa trục cột sống cổ sau  các cỡ.</t>
  </si>
  <si>
    <t xml:space="preserve">Nẹp dọc cột sống cổ sau đk 3.2MM , 240MM,TI  </t>
  </si>
  <si>
    <t>Nẹp Chẩm - Cổ uốn sẵn ; 3.2 x200MM</t>
  </si>
  <si>
    <t>Vít chẩm các cỡ.</t>
  </si>
  <si>
    <t>690xxxx/695xxxx</t>
  </si>
  <si>
    <t>Miếng ghép lưng các cỡ</t>
  </si>
  <si>
    <t>296xxxx/ 299xxxx</t>
  </si>
  <si>
    <t>Nẹp cổ trước kèm khoá mũ vít 19mm - 35mm</t>
  </si>
  <si>
    <t>876-xxx</t>
  </si>
  <si>
    <t>Nẹp cổ trước kèm khoá mũ vít 37.5mm - 60mm</t>
  </si>
  <si>
    <t>Nẹp cổ trước kèm khoá mũ vít 62.5mm -  80mm</t>
  </si>
  <si>
    <t>Vít xốp đơn hướng tự Tarô các cỡ</t>
  </si>
  <si>
    <t>Vít xốp đa hướng tự Tarô các cỡ.</t>
  </si>
  <si>
    <t>Bằng chữ : Bốn tỷ hai trăm ba mươi lăm triệu chín trăm nghìn đồng chẵn./.</t>
  </si>
  <si>
    <t>LÔ HÀNG SỐ 31</t>
  </si>
  <si>
    <t>Catheter 5F loại lòng rộng 1.20mm</t>
  </si>
  <si>
    <t>Gói tiệt trùng</t>
  </si>
  <si>
    <t>TERUMO/
Việt Nam</t>
  </si>
  <si>
    <t>CÔNG TY TNHH THANH PHƯƠNG</t>
  </si>
  <si>
    <t>Microcatheter can thiệp mạch máu ngoại biên  2.7F bao gồm dây dẫn đường 0.021"</t>
  </si>
  <si>
    <t>TERUMO/
Nhật Bản</t>
  </si>
  <si>
    <t>Microcatheter dẫn đường dây dẫn can thiệp mạch vành cỡ 1.8F</t>
  </si>
  <si>
    <t>Bộ mở đường 5F, 6F, 8F, dùng kim luồn chọc mạch và dây dẫn ngậm nước dẫn đường</t>
  </si>
  <si>
    <t>Dây dẫn đường cho catheter loại ngậm nước chống co thắt 150 cm</t>
  </si>
  <si>
    <t>Dây dẫn đường cho catheter loại ngậm nước chống co thắt 260 cm</t>
  </si>
  <si>
    <t>Dụng cụ mở đường vào động mạch quay loại ái nước chống co thắt dùng kim luồn chọc mạch và dây dẫn đường ngậm nước (M Coat Radial Introducer II)</t>
  </si>
  <si>
    <t>Catheter chụp động mạch vành phải loại mềm linh hoạt dễ lái cỡ 5F có lòng rộng 1.2mm</t>
  </si>
  <si>
    <t>Catheter chụp động mạch vành cả 2 bên qua đường động mạch quay chất liệu polyamide chống xoắn, chống co thắt</t>
  </si>
  <si>
    <t>Dây dẫn đường cho bóng và Stent loại mềm đầu quặt ngược khi gặp mảng xơ vữa, không gây thủng mạch (Guide wire can thiệp)</t>
  </si>
  <si>
    <t>Phổi nhân tạo loại phủ chất chống kích hoạt tiểu cầu và biến tính huyết tương</t>
  </si>
  <si>
    <t xml:space="preserve">Bộ </t>
  </si>
  <si>
    <t xml:space="preserve">Dây dẫn máu của phổi nhân tạo, đồng bộ phổi </t>
  </si>
  <si>
    <t>TERUMO-CSS/
Singapore</t>
  </si>
  <si>
    <t>Quả lọc  máu rút nước mổ tim loại 0.5m2 mồi máu 35ml</t>
  </si>
  <si>
    <t>Quả</t>
  </si>
  <si>
    <t>Bóng nong động mạch vành , khẩu kính nhỏ 0,41 ml</t>
  </si>
  <si>
    <t xml:space="preserve">cái </t>
  </si>
  <si>
    <t xml:space="preserve">Phin lọc động mạch mổ tim loại trẻ em và người lớn </t>
  </si>
  <si>
    <t>Bộ mở đường guiding Sheat 6F, 7F dài 60 cm can thiệp ngoại biên</t>
  </si>
  <si>
    <t>Dây dẫn đường cho Microcatheter cỡ 0.016'' ái nước</t>
  </si>
  <si>
    <t>Cộng lô 31</t>
  </si>
  <si>
    <t>Tổng cộng giá dự thầu của lô hàng: 8.352.319.500 VNĐ</t>
  </si>
  <si>
    <t>(Bằng chữ: Tám tỷ, ba trăm năm mươi hai triệu, ba trăm mười chín ngàn, năm trăm đồng)</t>
  </si>
  <si>
    <t>LÔ HÀNG SỐ 32</t>
  </si>
  <si>
    <t>Sonde JJ, chất liệu Polyurethane các cỡ</t>
  </si>
  <si>
    <t>Cái /gói</t>
  </si>
  <si>
    <t>TDM/Singapore</t>
  </si>
  <si>
    <t>G1xxx
TDMxxx</t>
  </si>
  <si>
    <t>Công ty Cổ phần Đầu tư và thương mại Trang thiết bị y tế AMB.</t>
  </si>
  <si>
    <t>Guide wire cứng, phủ Teflon</t>
  </si>
  <si>
    <t>GWxxx</t>
  </si>
  <si>
    <t>Bộ sonde jj trẻ em bao gồm guide wire</t>
  </si>
  <si>
    <t>Bộ /gói</t>
  </si>
  <si>
    <t>Uro - Đức</t>
  </si>
  <si>
    <t>039xx
ENxxx</t>
  </si>
  <si>
    <t>Rọ lấy sỏi 3.0 Fr, 4wires, dài 90cm chất liệu nitinon dạng mềm, tay cầm trượt</t>
  </si>
  <si>
    <t>Cook - Mỹ</t>
  </si>
  <si>
    <t>NFHSES-xxx</t>
  </si>
  <si>
    <t>Guide wire nitinon phủ hydrophilic,0.035, 150cm mềm</t>
  </si>
  <si>
    <t>HWxxx 
BWxxx</t>
  </si>
  <si>
    <t>Bộ sonde JJ  ghép thận kèm dây dẫn hướng</t>
  </si>
  <si>
    <t>1 Bộ/gói</t>
  </si>
  <si>
    <t>435xx</t>
  </si>
  <si>
    <t>Dụng cụ chặn sỏi bằng fim mềm</t>
  </si>
  <si>
    <t>Gxxx</t>
  </si>
  <si>
    <t>Bộ bơm xi măng cột sống kèm sinh thiết loại hai kim</t>
  </si>
  <si>
    <t>Stryker-Mỹ</t>
  </si>
  <si>
    <t>Sxxx</t>
  </si>
  <si>
    <t>Catheter tĩnh mạch trung tâm 3 đường truyền 7F SafeCath, dài 15-20cm</t>
  </si>
  <si>
    <t>Lepu/Ant Trung quốc</t>
  </si>
  <si>
    <t>LPPCVC3-xx</t>
  </si>
  <si>
    <t>Manifold 2,3 đường (500PSI,250PSI,150PSI)</t>
  </si>
  <si>
    <t>Syrine đầu xoáy</t>
  </si>
  <si>
    <t>LPHBxxx</t>
  </si>
  <si>
    <t xml:space="preserve">Băng ép cầm máu </t>
  </si>
  <si>
    <t>Gelita/Đức</t>
  </si>
  <si>
    <t>Gxxxx</t>
  </si>
  <si>
    <t>Buồng tiêm truyền tĩnh mạch 
bằng titanium</t>
  </si>
  <si>
    <t xml:space="preserve">Bơm áp lực để bơm bóng nong 
( 30atm, syringe 20cc, áp kế xoay 90 độ)
</t>
  </si>
  <si>
    <t>Lxxx</t>
  </si>
  <si>
    <t xml:space="preserve">           Bằng chữ: Hai tỷ, hai trăm sáu hai triệu, ba trăm ba mươi nghìn đồng./.</t>
  </si>
  <si>
    <t>LÔ HÀNG SỐ 33</t>
  </si>
  <si>
    <t>Bột xương sinh học loại 2.5cc</t>
  </si>
  <si>
    <t>1 cái/gói</t>
  </si>
  <si>
    <t xml:space="preserve">Biocomposite -Anh </t>
  </si>
  <si>
    <t>GenXPutty 2.5cc/ 920002</t>
  </si>
  <si>
    <t>CÔNG TY CỔ PHẦN CÔNG NGHỆ Y TẾ BMS</t>
  </si>
  <si>
    <t>Vít  chốt cố định ngoại vi gân Tap, các cỡ</t>
  </si>
  <si>
    <t>Arthrex- Mỹ/ Đức</t>
  </si>
  <si>
    <t>AR-1006</t>
  </si>
  <si>
    <t>Vít dây chằng tự tiêu sinh học có thêm chất HA, các cỡ</t>
  </si>
  <si>
    <t>AR-1370TB/ Ar-5028B-xx</t>
  </si>
  <si>
    <t>Mũi khoan ngược</t>
  </si>
  <si>
    <t>Flipcutter
AR-1204F-xx/ AR-1204AF-xx</t>
  </si>
  <si>
    <t>Vít cổ trước các cỡ</t>
  </si>
  <si>
    <t>Stryker- Mỹ/ Pháp/ Thuỵ Sĩ</t>
  </si>
  <si>
    <t>4869xxxx</t>
  </si>
  <si>
    <t>Vít hợp kim cổ chẩm các cỡ</t>
  </si>
  <si>
    <t>48554xxx</t>
  </si>
  <si>
    <t>Vít đa trục cổ  sau các cỡ</t>
  </si>
  <si>
    <t>Oasys
4855xxxx</t>
  </si>
  <si>
    <t>Nẹp chẩm cổ uốn sẵn, các cỡ</t>
  </si>
  <si>
    <t>Oasys
48551xxx</t>
  </si>
  <si>
    <t>Nẹp đốt sống cổ trước 2 tầng kiểu Reflex</t>
  </si>
  <si>
    <t>4865xxxx</t>
  </si>
  <si>
    <t>Vis đơn trục bước ren hình thang kiểu Xia 2</t>
  </si>
  <si>
    <t>1cái/gói</t>
  </si>
  <si>
    <t>03820xxx</t>
  </si>
  <si>
    <t>Vis đa trục bước ren hình thang kiểu Xia 2</t>
  </si>
  <si>
    <t>03821xxx</t>
  </si>
  <si>
    <t>Vis ốc khóa trong bước ren hình thang kiểu Xia 2</t>
  </si>
  <si>
    <t>03756230</t>
  </si>
  <si>
    <t>Nẹp dọc cột sống kiểu Xia 2 , từ 100mm- 200mm</t>
  </si>
  <si>
    <t>Rod . XiaII
665xxx</t>
  </si>
  <si>
    <t>Nẹp dọc cột sống kiểu Xia 2 , từ 210mm- 300mm</t>
  </si>
  <si>
    <t>Nẹp dọc cột sống kiểu Xia 2 , từ 310mm- 400mm</t>
  </si>
  <si>
    <t>Nẹp dọc cột sống kiểu Xia 2 , từ 410mm- 500mm</t>
  </si>
  <si>
    <t>Miếng ghép đĩa đệm lưng kiểu Peek, các cỡ</t>
  </si>
  <si>
    <t>AVS/ OIC</t>
  </si>
  <si>
    <t xml:space="preserve">Lưỡi bào khớp đóng tiệt trùng </t>
  </si>
  <si>
    <t>Stryker- Mỹ/ Đức</t>
  </si>
  <si>
    <t>375-xxx-xxx</t>
  </si>
  <si>
    <t xml:space="preserve">Lưỡi bào theo công nghệ radio có chức năng cầm máu, uốn được </t>
  </si>
  <si>
    <t>Arthrex- Mỹ/ Đức/ Taiwan</t>
  </si>
  <si>
    <t>AR-9803A-xx</t>
  </si>
  <si>
    <t xml:space="preserve">Dây nước hoạt động với máy bơm tưới </t>
  </si>
  <si>
    <t>Arthrex- Mỹ/ Đức/ Czech</t>
  </si>
  <si>
    <t>AR-6415</t>
  </si>
  <si>
    <t>Dây nước chạy lẻ (ko sử dụng máy bơm tưới)</t>
  </si>
  <si>
    <t>Stryker- Mỹ/ Thái Lan</t>
  </si>
  <si>
    <t>Stema/
Z1450-39</t>
  </si>
  <si>
    <t>Lưỡi mài xương khớp các loại</t>
  </si>
  <si>
    <t>375-9xx-xxx</t>
  </si>
  <si>
    <t>Vít  dây chằng tự tiêu  các cỡ</t>
  </si>
  <si>
    <t>Stryker- Mỹ</t>
  </si>
  <si>
    <t>234-010-xxx</t>
  </si>
  <si>
    <t>Vit bắt ngược tự tiêu Retro</t>
  </si>
  <si>
    <t>Arthrex- Mỹ/ Anh</t>
  </si>
  <si>
    <t>AR-158x-xx</t>
  </si>
  <si>
    <t>Vít ốc khóa trong dành cho cổ chẩm</t>
  </si>
  <si>
    <t>Nẹp dọc cổ chẩm ≥ 240 mm</t>
  </si>
  <si>
    <t>4855x240</t>
  </si>
  <si>
    <t>Chỉ khâu giân siêu bền dùng với vít dây chằng trong kỹ thuật all in size</t>
  </si>
  <si>
    <t>Ar-7200</t>
  </si>
  <si>
    <r>
      <t xml:space="preserve">Tổng cộng giá dự thầu của lô </t>
    </r>
    <r>
      <rPr>
        <sz val="7"/>
        <color indexed="10"/>
        <rFont val="Arial"/>
        <family val="2"/>
      </rPr>
      <t>33</t>
    </r>
    <r>
      <rPr>
        <sz val="7"/>
        <rFont val="Arial"/>
        <family val="2"/>
      </rPr>
      <t xml:space="preserve"> đã bao gồm thuế, phí,lệ phí </t>
    </r>
  </si>
  <si>
    <t>Bằng chữ: Năm tỷ, không trăm mười triệu, bốn trăm năm mươi nghìn đồng chẵn./.</t>
  </si>
  <si>
    <t>LÔ HÀNG SỐ 34</t>
  </si>
  <si>
    <t xml:space="preserve">Bóng nong động mạch vành áp lực cao các cỡ </t>
  </si>
  <si>
    <t>Schwager Medica - Thụy Sĩ</t>
  </si>
  <si>
    <t>150-012-034
đến
250-030-034</t>
  </si>
  <si>
    <t>6 tem</t>
  </si>
  <si>
    <t>CÔNG TY CỔ PHẦN TRANG THIẾT BỊ Y TẾ ĐỨC TÍN</t>
  </si>
  <si>
    <t>Bóng nong động mạch vành áp lực thường các cỡ</t>
  </si>
  <si>
    <t>150-010-005
đến
450-022-005</t>
  </si>
  <si>
    <t>Bơm áp lực cao</t>
  </si>
  <si>
    <t>3 tem</t>
  </si>
  <si>
    <t>Catheter trợ giúp can thiệp (guiding catheter các loại) Zenyte EX</t>
  </si>
  <si>
    <t>Asahi - Nhật/ Thái Lan</t>
  </si>
  <si>
    <t>W6JL35-0-X100, W7JL35-0-X100, W8JL35-0-X100, W6JR35-0-X100, W7JR35-0-X100, W8JR35-0-X100, đến W6MP02-0-X100</t>
  </si>
  <si>
    <t>Dây dẫn đường cho bóng &amp;stent dành cho tổn thương tắc hoàn toàn mãn tính CTO</t>
  </si>
  <si>
    <t>AGP140002, AHW14S003S, AG14M050, AG14M060, AG14M070, AHW14R007P, AHW14R008P, AHW14R011P, AGH143090, AGH143091, AGH143092</t>
  </si>
  <si>
    <t>Dây dẫn đường cho bóng &amp;stent dành cho tổn thương thông thường và hẹp kít</t>
  </si>
  <si>
    <t>AHW14R001S, AHW14R004S, AG149001</t>
  </si>
  <si>
    <t>Dây dẫn can thiệp mạch máu  não, công nghệ ACTONE, các cỡ</t>
  </si>
  <si>
    <t>WAIN-CKI-200, WAIN-CKI-10-200, WAIN-CKI-08-200</t>
  </si>
  <si>
    <t>Dây dẫn đường cho bóng và stent loại can thiệp động mạch chi dưới, tắc mãn tính hoàn toàn</t>
  </si>
  <si>
    <t>PAGH18M070, PAGH18M071, PAGH140000</t>
  </si>
  <si>
    <t>Vi ống thông dẫn đường dùng can thiệp TOCE, các cỡ đường kính 1,98F</t>
  </si>
  <si>
    <t>WMST105-18PWSF, WMST125-18PWSF, WMST150-18PWSF, WMST45A-28PWSSF, WMST45A-18PWSF</t>
  </si>
  <si>
    <t>Bộ vi ống thông dẫn đường dùng can thiệp TOCE (bao gồm dây dẫn) có Tockers di động các  cỡ đường kính 2,6F-2,8F</t>
  </si>
  <si>
    <t>WMST105-27HFK, WMST125-27HFK, WMST105-27HFKM, WMST125-27HFKM</t>
  </si>
  <si>
    <t>Bằng chữ: Bốn tỷ, năm trăm sáu mươi triệu đồng.</t>
  </si>
  <si>
    <t>LÔ HÀNG SỐ 35</t>
  </si>
  <si>
    <t>PTCA balloon catheter loại bán áp lực cao EVEREST</t>
  </si>
  <si>
    <t>Blue Medical/ Hà Lan</t>
  </si>
  <si>
    <t>EVER2010, EVER2015….</t>
  </si>
  <si>
    <t>PTCA balloon catheter loại chuyên dụng cho tổn thương tắc hoàn toàn mãn tính SUMMIT</t>
  </si>
  <si>
    <t>SUM1110, SUM1115…</t>
  </si>
  <si>
    <t xml:space="preserve">Tổng cộng: </t>
  </si>
  <si>
    <t>Bằng chữ: Bốn trăm bốn muơi bảy triệu đồng chẵn.</t>
  </si>
  <si>
    <t>LÔ HÀNG SỐ 36</t>
  </si>
  <si>
    <t>Guiding can thiệp các cỡ</t>
  </si>
  <si>
    <t>Umbra, Mỹ</t>
  </si>
  <si>
    <t>JL,JR,AL,AR, EBU, XBU, IMT</t>
  </si>
  <si>
    <t>CÔNG TY TNHH THIẾT BỊ Y TẾ THĂNG LONG</t>
  </si>
  <si>
    <t>Dụng cụ mở đường vào động mạch quay các cỡ</t>
  </si>
  <si>
    <t>Dụng cụ mở đường vào động mạch đùi các cỡ</t>
  </si>
  <si>
    <t>Bơm áp lực để bơm bóng nong</t>
  </si>
  <si>
    <t>12023 - 12053</t>
  </si>
  <si>
    <t>Bộ hút huyết khối</t>
  </si>
  <si>
    <t>Qualimed, Đức</t>
  </si>
  <si>
    <t>VX…</t>
  </si>
  <si>
    <t>Tổng giá trị dự thầu: 1,409,250,000đ (Một tỷ bốn trăm lẻ chín triệu hai trăm năm mươi nghìn đồng chẵn)</t>
  </si>
  <si>
    <t>LÔ HÀNG SỐ 37</t>
  </si>
  <si>
    <t xml:space="preserve">Súng bắn dùng nhiều lần trong phẫu thuật Phaco 
</t>
  </si>
  <si>
    <t xml:space="preserve">1 cái/ hộp </t>
  </si>
  <si>
    <t xml:space="preserve">Medicel/ Thụy Sỹ </t>
  </si>
  <si>
    <t>LI604200</t>
  </si>
  <si>
    <t xml:space="preserve">Công ty Cổ phần Thiên Trường </t>
  </si>
  <si>
    <t>Dịch nhầy phẫu thuật 2ml glass syringe
Code: Aurovisc 
Là dịch nhầy phẫu thuật mắt tiệt trùng hydroxylpropyl methylcellulose 2% với trọng lượng phân tử cao không gây viêm nhiễm, tiêu chuẩn tinh khiết cao, đẳng trương, vô trùng và không có chất gây sốt (chí nhiệt tố) dùng để bơm vào nội nhãn trong suốt quá trình phẫu thuật phần trước của mắt.
Các tính chất bao gồm:
- Trọng lượng phân tử: 86.000 daltons
- Độ nhớt động: 3000 - 4500 cPs tại 27oC
- Độ pH: 7.3
- Đóng gói: Dạng ống syringe- Dung tích: 2ml- Chất liệu: Hydroxy Propyl Methyl Cellulose</t>
  </si>
  <si>
    <t xml:space="preserve">1 ống thủy tinh/ túi </t>
  </si>
  <si>
    <t xml:space="preserve">Ống </t>
  </si>
  <si>
    <t xml:space="preserve">Aurolab/ Ấn Độ </t>
  </si>
  <si>
    <t>Aurovisc</t>
  </si>
  <si>
    <t>Thuốc nhuộm bao 
Code: Auroblue 
Thuốc nhuộm bao dùng trong phẫu thuật mắt: thành phần có trypan blue 0.06% kết hợp với Natri chlorid và dung dịch đệm, giúp quan sát xé bao thủy tinh thể với thủy tinh thể bị đục hoặc mắt có đồng tử hẹp, đường viền quanh vùng xé bao luôn rõ nét khi phẫu thuật, giảm thiểu nguy hại khi chưa hoàn thành xé bao, đóng gói trong lọ vô khuẩn, dung tích 1 ml.</t>
  </si>
  <si>
    <t xml:space="preserve">Auroblue </t>
  </si>
  <si>
    <t>Dao mổ mắt 15 độ 
Dao mổ mắt 15 độ, dùng 1 lần trong phẫu thuật phaco
Lưỡi làm bằng thép không rỉ, không gây chói
-  Tay cầm nhựa, thiết kế để cầm thoải mái
-  Tạo độ mở rộng 15 độ, góc tạo độ sâu từ 3 - 5mm
-  Cạnh xiên của mũi dao có gờ kép, vát
-  Mũi dao nhọn
-  Đóng trong túi tiệt tùng vô khuẩn</t>
  </si>
  <si>
    <t xml:space="preserve">1 cái/ túi </t>
  </si>
  <si>
    <t xml:space="preserve">Oasis Medical Inc.,/ Mỹ </t>
  </si>
  <si>
    <t>PE3015</t>
  </si>
  <si>
    <t xml:space="preserve">Dao mổ mắt 2.2mm
Dao mổ mắt có cán 2,2mm
Lưỡi làm bằng thép không rỉ, không gây chói
Tay cầm nhựa, thiết kế để cầm thoải mái
Đóng trong túi tiệt trùng vô khuẩn.
</t>
  </si>
  <si>
    <t>PE3822</t>
  </si>
  <si>
    <t xml:space="preserve">Thủy tinh thể nhân tạo mềm, lọc ánh sáng xanh
Model: 877FABY 
Thông số kỹ thuật:  
+ Thủy tinh thể nhân tạo mềm, một mảnh, thiết kế phi cầu, không ngậm nước, 
lọc ánh sáng xanh và lọc ánh sáng vàng tự nhiên ( 390 nm to ca. 450 nm). 
+ Chất liệu: Hydrophobic Acrylic hấp thụ UV
+ Vật liệu chế tạo thủy tinh thể: Hydrophobic Acrylic SEMTE, 
vật liệu SEMTE chứa hàm lượng nước thấp, chỉ số an toàn cao 
+ Thủy tinh thể được cắt bởi công nghệ Laser Cut tạo độ chính xác cao, bóng, mịn
+ Thiết kế rìa vuông cạnh sắc 360 độ, giảm độ bám dính tế bào sau khi phẫu thuật, 
tránh hiện tượng đục bao sau ( PCO)
+ Đường kính tổng thể: 13mm, đường kính quang học ( Optic): 6.0mm, 
Hằng số A: 118.0 ( A constant SRK _II : 118.5,
 A constant  SRK  -T: 118.9, p ACD hofferQ: 5.07,sf Holladay 1: 1.31). 
Kích thước túi bao 9mm thì góc tiếp xúc trung bình: 90 độ
+ Dải công suất ( Diop): từ 0D đến +9.0D ( mức tăng 1D), Từ + 10D đến + 30D 
( Mức tăng 0.5D), Từ+ 31.D đến +35.0D ( mức tăng 1D). 
A constant SRK _II : 118.5, A constant  SRK  -T: 118.9, p ACD hofferQ: 5.07,sf Holladay 1: 1.31
+ Chỉ số khúc xạ: 1.47, Chỉ số ABBE 57, Độ sâu tiền phòng: 4.8
+  Góc càng: 0 độ ( Asymmetrical design) tiêu chuẩn tối ưu: Cải thiện tính ổn định khúc xạ, 
chất lượng thị giác tốt, dễ lấy chất nhày ra khỏi bao.
+ Góc tiếp xúc giữa càng và túi bao 180 độ: giúp thủy tinh thể không bị xê dịch, 
ổn định trong bao tốt hơn
+  Cung cấp kèm theo 1 InJecter, 1 catridge/ 1 TTT 
( sử dụng một lần,  Đường kính đầu Injecter:2,2mm)
 </t>
  </si>
  <si>
    <t xml:space="preserve">Medicontur/ Hungary </t>
  </si>
  <si>
    <t xml:space="preserve">877FABY </t>
  </si>
  <si>
    <t xml:space="preserve">Thủy tinh thể nhân tạo mềm Aspheric Hydrophilic Acrylic 
Thông số kỹ thuật: 
+ Thủy tinh thể nhân tạo mềm, một mảnh, ngậm nước, thiết kế phi cầu
 + Chất liệu: Hydrophilic - hydrophobic Copolymer chứa 25% nước, Optic Aspjeric Coma Optimized, hấp thụ tia UV.
+ Thủy tinh thể được cắt bởi công nghệ Laser Cut tạo độ chính xác cao, bóng, mịn
+ Thiết kế rìa vuông cạnh sắc 360 độ, giảm độ bám dính tế bào sau khi phẫu thuật, tránh hiện tượng đục bao sau ( PCO)
+ Đường kính tổng thể:13.0mm, đường kính quang học ( Optic): 6.0m. Hằng số A 118.0 ( dải công suất dương) và 117.4 đối với dải công suất âm. A Constant STK-T : 118,2 đối với dải công suất dương, và 117,8Đối với dải công suất âm, P ACD Hoffer Q: 5,07 Dải công suất dương,) và 4,75  đối với dải công suât âm.Với kích thước túi bao 9mm thì góc tiếp xúc trung bình 90 độ.
+ Dải công suất ( Diop): Công suất từ -10D đến +9D ( mức tăng 1D) , từ + 10D đến + 30D (mức tăng 0.5D), từ+ 31D đến + 45D ( mức tăng 1D).
+ Chỉ số khúc xạ 1.46, chỉ số ABBER 58, Độ sâu tiền phòng 4.8 mm ( dải công suất dương), 4.5mm đối với dải công suất âm
+ Góc càng: 0 độ thiết kế hình vòm
+ Góc tiếp xúc giữa càng và túi bao180 độ: giúp thủy tinh thể không bị xê dịch, ổn định trong bao tốt hơn
 + Kích thước vết mổ 1.8mm hoặc 2.2mm.
+ Cung cấp kèm theo 1 InJecter, 1 catridge/ 1 TTT 
( sử dụng một lần,  Đường kính đầu Injecter:1,8mm hoặc 2.2mm.
</t>
  </si>
  <si>
    <t>677AB</t>
  </si>
  <si>
    <t>Thuốc chụp mạch huỳnh quang 
Sử dụng trong chụp X - Quang nhãn khoa và chụp mạch trong chẩn đoán đáy mắt.
Flures chứa nguyên tố huỳnh quang tương đương 20% huỳnh quang w/v. Dạng nước tiệt trùng, sử dụng trong tĩnh mạch giống như một sản phẩm hỗ trợ chẩn đoán.
Đóng gói
Ống 3ml (hộp 10 ống)</t>
  </si>
  <si>
    <t xml:space="preserve">10 ống/ hộp </t>
  </si>
  <si>
    <t xml:space="preserve">Aurogreen </t>
  </si>
  <si>
    <t xml:space="preserve">Súng bắn nhân sử dụng một lần 
Sử dụng 1 lần, đóng gói tiệt trùng vô khuẩn 
</t>
  </si>
  <si>
    <t xml:space="preserve">Ret, Inc/ Hàn Quốc </t>
  </si>
  <si>
    <t xml:space="preserve">Comport L </t>
  </si>
  <si>
    <t xml:space="preserve">Catridge </t>
  </si>
  <si>
    <t xml:space="preserve">Dây silicone nối ống lệ mũi 
</t>
  </si>
  <si>
    <t xml:space="preserve">Sợi </t>
  </si>
  <si>
    <t xml:space="preserve">Meran/ Thổ Nhĩ Kỳ </t>
  </si>
  <si>
    <t>M04 4001</t>
  </si>
  <si>
    <t xml:space="preserve">Vam 3 răng dùng trong phẫu thuật nối thông lệ mũi </t>
  </si>
  <si>
    <t xml:space="preserve">IndoWebal/ Ấn Độ </t>
  </si>
  <si>
    <t>IW1065</t>
  </si>
  <si>
    <t xml:space="preserve">Kéo giác mạc </t>
  </si>
  <si>
    <t>IW983</t>
  </si>
  <si>
    <t xml:space="preserve">Panh giác mạc </t>
  </si>
  <si>
    <t xml:space="preserve">PMS/ Đức </t>
  </si>
  <si>
    <t xml:space="preserve">E30-051 </t>
  </si>
  <si>
    <t xml:space="preserve">Panh xé bao thể thủy tinh </t>
  </si>
  <si>
    <t xml:space="preserve">IW947 </t>
  </si>
  <si>
    <t xml:space="preserve">Kéo kết mạc </t>
  </si>
  <si>
    <t>E25-564/ E25-565</t>
  </si>
  <si>
    <t xml:space="preserve">Kìm mang kim vi phẫu </t>
  </si>
  <si>
    <t>E30-460T</t>
  </si>
  <si>
    <t xml:space="preserve">Spatuyl dẹt dùng trong phẫu thuật nội nhãn </t>
  </si>
  <si>
    <t>IW791</t>
  </si>
  <si>
    <t xml:space="preserve">Kéo cắt mống mắt  </t>
  </si>
  <si>
    <t>E25-251</t>
  </si>
  <si>
    <t xml:space="preserve">Kéo cắt bao thể thủy tinh </t>
  </si>
  <si>
    <t>E25-400</t>
  </si>
  <si>
    <t xml:space="preserve">Kim 2 nòng dùng trong rửa hút chất thể thủy tinh
</t>
  </si>
  <si>
    <t>E20-300</t>
  </si>
  <si>
    <t>Vòng căng bao 
Đường kính tổng 12.0 Đường kính đóng : 10.0
Đường kính tổng: 13.0 đường kính đóng : 11.0</t>
  </si>
  <si>
    <t xml:space="preserve">Auroring </t>
  </si>
  <si>
    <t>Miếng dán mi loại nhỏ 
Quy cách: 100 miếng / hộp
Model: 1626W
Kích thước: 10x 12cm</t>
  </si>
  <si>
    <t xml:space="preserve">3M Healthcare/ Mỹ </t>
  </si>
  <si>
    <t xml:space="preserve">Dụng cụ mở mống mắt Iris Expander 
Model: Oasis Iris Expander         
Kích thước đường kính 7.0mm và 6.25mm 
Hình dáng dạng vòng, chất liệu polypropylene 
Sử dụng 1 lần, đóng gói tiệt trùng vô khuẩn 
</t>
  </si>
  <si>
    <t xml:space="preserve">Tổng cộng </t>
  </si>
  <si>
    <t>Bằng chữ: Năm trăm bảy mươi tư triệu, chín trăm hai mươi lăm nghìn đồng./.</t>
  </si>
  <si>
    <t>LÔ HÀNG SỐ 38</t>
  </si>
  <si>
    <t>Băng huyết áp cho máy Monitor</t>
  </si>
  <si>
    <t>LD Cty TNHH Dịch Vụ TM và ĐT Hưng Phát và Cty TNHH V.I.T.H.A.C.O.M Việt Nam</t>
  </si>
  <si>
    <t>Tay dao điện đơn cực</t>
  </si>
  <si>
    <t>Đồng hồ ẩm kế nhiệt kế</t>
  </si>
  <si>
    <t>Đèn đặt nội khí quản</t>
  </si>
  <si>
    <t>Pakistan</t>
  </si>
  <si>
    <t>1 tem</t>
  </si>
  <si>
    <t>Bộ mở nội khí quản</t>
  </si>
  <si>
    <t>Bình rửa mắt khẩn cấp</t>
  </si>
  <si>
    <t>Ống Pachen cốp</t>
  </si>
  <si>
    <t>Túyp</t>
  </si>
  <si>
    <t>Giá Pachen cốp Inox</t>
  </si>
  <si>
    <t xml:space="preserve">Đèn đọc phim </t>
  </si>
  <si>
    <t>Bóng đèn gù</t>
  </si>
  <si>
    <t xml:space="preserve">Máy khí dung </t>
  </si>
  <si>
    <t>Khay Inox chia thuốc</t>
  </si>
  <si>
    <t>Đầu côn trắng</t>
  </si>
  <si>
    <t>1000 cái/ túi</t>
  </si>
  <si>
    <t>Đè gỗ TMH</t>
  </si>
  <si>
    <t>Mỏ vịt nhựa (sản)</t>
  </si>
  <si>
    <t>Máy hút dịch</t>
  </si>
  <si>
    <t xml:space="preserve">Xe lăn tay </t>
  </si>
  <si>
    <t>Thuốc hiện hãm RHM</t>
  </si>
  <si>
    <t>Mỹ</t>
  </si>
  <si>
    <t>Bộ đèn khử trùng 90cm</t>
  </si>
  <si>
    <t>Tủ thuốc Inox 2 đợt kính</t>
  </si>
  <si>
    <t>Tủ thuốc độc A+B</t>
  </si>
  <si>
    <t xml:space="preserve">Cáp cảm biến SPO2 Người lớn </t>
  </si>
  <si>
    <t>Cáp cảm biến SPO2  Trẻ Em</t>
  </si>
  <si>
    <t xml:space="preserve">Cáp điện tim </t>
  </si>
  <si>
    <t>Giầy giấy, mũ giấy, Khẩu trang</t>
  </si>
  <si>
    <t>Sát khuẩn tủy (CPC)</t>
  </si>
  <si>
    <t>Lọ</t>
  </si>
  <si>
    <t>Ấn Độ</t>
  </si>
  <si>
    <t>Oxit kẽm</t>
  </si>
  <si>
    <t>Fuji7</t>
  </si>
  <si>
    <t>Nhật Bản</t>
  </si>
  <si>
    <t>Chất hàn Fuji 2</t>
  </si>
  <si>
    <t>Engenol</t>
  </si>
  <si>
    <t>Hydroxyt Canxi</t>
  </si>
  <si>
    <t>Cortisomol</t>
  </si>
  <si>
    <t>Pháp</t>
  </si>
  <si>
    <t>CRP</t>
  </si>
  <si>
    <t>Hộp (100 test)</t>
  </si>
  <si>
    <t>RPR</t>
  </si>
  <si>
    <t>RF</t>
  </si>
  <si>
    <t>Hộp
(100 test)</t>
  </si>
  <si>
    <t>ASO</t>
  </si>
  <si>
    <t>Màng RO</t>
  </si>
  <si>
    <t>Than hoạt</t>
  </si>
  <si>
    <t>Hạt nhựa</t>
  </si>
  <si>
    <t>Muối hạt</t>
  </si>
  <si>
    <t>Cát thạch anh</t>
  </si>
  <si>
    <t>Sỏi chống tắc</t>
  </si>
  <si>
    <t>Lõi lọc thô</t>
  </si>
  <si>
    <t>Hóa chất</t>
  </si>
  <si>
    <t>Bóng bóp cấp cứu</t>
  </si>
  <si>
    <t>Lọc khí dây máy thở</t>
  </si>
  <si>
    <t>Ống nối dây máy thở</t>
  </si>
  <si>
    <t>Mặt nạ khí dung dùng cho máy khí dung C29</t>
  </si>
  <si>
    <t>Malaysia</t>
  </si>
  <si>
    <t>Đồng hồ oxy</t>
  </si>
  <si>
    <t>Cái/Hộp</t>
  </si>
  <si>
    <t>Dây nối máy truyền dịch đến kim luồn</t>
  </si>
  <si>
    <t>100 cái / hộp</t>
  </si>
  <si>
    <t>Kim cố định tĩnh mạch 72h có cánh có cổng tiêm</t>
  </si>
  <si>
    <t>50 cái / hộp</t>
  </si>
  <si>
    <t>Giấy in dùng cho máy siêu âm đen trắng Sony</t>
  </si>
  <si>
    <t>10 cuộn / hộp</t>
  </si>
  <si>
    <t>Bộ bóng đèn khử trùng nước RO</t>
  </si>
  <si>
    <t>1 bộ / hộp</t>
  </si>
  <si>
    <t>Tấm trải phẫu thuật vô trùng</t>
  </si>
  <si>
    <t>50 cái / túi</t>
  </si>
  <si>
    <t>Kim truyền cánh bướm 23G và 25G</t>
  </si>
  <si>
    <t>100 chiếc / hộp</t>
  </si>
  <si>
    <t>Collagen-Klee 5x5cm</t>
  </si>
  <si>
    <t>Hộp 05 gói/Gói 01 miếng</t>
  </si>
  <si>
    <t>Tây Ban Nha</t>
  </si>
  <si>
    <t>Collagen-Klee 5x10cm</t>
  </si>
  <si>
    <t>Hộp 03 gói/Gói 01 miếng</t>
  </si>
  <si>
    <t>Collagen –Klee 10x10cm</t>
  </si>
  <si>
    <t xml:space="preserve"> Hộp 03 gói/Gói 01 miếng</t>
  </si>
  <si>
    <t>Epiglu dạng gói</t>
  </si>
  <si>
    <t>Hộp 10 gói/Gói 0,3 ml</t>
  </si>
  <si>
    <t>Epiglu dạng tuýp</t>
  </si>
  <si>
    <t>Hộp 04 tuýp/ Tuýp 3gr</t>
  </si>
  <si>
    <t>ETALA SMP Ethanol 80% , Nước Oxy già 1,45% Chế phẩm diệt khuẩn, sát trùng ngoài da</t>
  </si>
  <si>
    <t>Lọ 500ml</t>
  </si>
  <si>
    <t xml:space="preserve">VIDINE SMP Povidone-iodine 4% </t>
  </si>
  <si>
    <t>Tổng cộng</t>
  </si>
  <si>
    <t>Bằng chữ: Một tỷ bốn trăm hai mươi mốt triệu chín trăm hai mươi ba ngàn đồng.</t>
  </si>
  <si>
    <t>LÔ HÀNG SỐ 39</t>
  </si>
  <si>
    <t>Rọ lấy sỏi đường mật qua da 8.5F, 12F (đường kính rọ 1.8, 2.2mm, chiều dài rọ 2.5, 4.5mm, 6 wire bằng nitinol)</t>
  </si>
  <si>
    <t>Cook/Mỹ</t>
  </si>
  <si>
    <t>WNSB</t>
  </si>
  <si>
    <t xml:space="preserve">Công ty TNHH Đầu tư và Thương mại Nam Dũng </t>
  </si>
  <si>
    <t>Dụng cụ mở đường vào động mạch loại dài có nòng  được cấu tạo từ PTFE 4 đến 14FR, dài từ 45cm đến 110 cm,  phủ AQ Hydrophilic</t>
  </si>
  <si>
    <t>KCFW/ RCFW/ KSAW</t>
  </si>
  <si>
    <t xml:space="preserve">Vi ống thông 2.5F ái nước dành cho mạch ngoại biên, và mạch tạng đi với dây dẫn 0.021''   (Can thiệp TOCE) </t>
  </si>
  <si>
    <t>MCS</t>
  </si>
  <si>
    <t xml:space="preserve">Vi ống thông 2.8F ái nước dành cho mạch ngoại biên, và mạch tạng đi với dây dẫn 0.025''  loại( Can thiệp TOCE) </t>
  </si>
  <si>
    <t>Vi ống thông ngoại biên cỡ 2.5Fr</t>
  </si>
  <si>
    <t>Dây dẫn can thiệp loại 0.014", 0.018" dài 80cm-260cm phủ lớp hydrophilic</t>
  </si>
  <si>
    <t>HPW/ HPWA/ HPWS/ HPWAS</t>
  </si>
  <si>
    <t xml:space="preserve">Dây dẫn can thiệp Mạch Máu CTO 0.014", đầu Tip 6g, 12g, 18g, 25g </t>
  </si>
  <si>
    <t>CMW</t>
  </si>
  <si>
    <t>Ống thông chụp chẩn đoán và hỗ trợ can thiệp mạch não, tạng, đường mật, cổ tử cung phủ lớp Hydrophilic, đầu Beacon (JB1, JB2, SIM1, SIM2, SIM3, RH, FC3, VERT, C1, C2, H1,…)</t>
  </si>
  <si>
    <t>SCBR</t>
  </si>
  <si>
    <t xml:space="preserve">Coil lông dạng thả được phủ bằng sợi Fiber (dạng hình nón, hình trụ) kích cỡ .018” và .035”, chiều dài từ 2.6 đến 12.5cm, Đường kính trải rộng từ 4/3 đến 10/5 mm </t>
  </si>
  <si>
    <t>MWCE,
 IMWCE</t>
  </si>
  <si>
    <t>Bộ dụng cụ Aprima dùng trong hỗ trợ dẫn lưu đường mật xuyên gan qua da và thủ thuật tắc tĩnh mạch cửa bằng Nitinol</t>
  </si>
  <si>
    <t>NPAS</t>
  </si>
  <si>
    <t>Bộ Kit dẫn lưu qua da 8.5F đến 20F có khóa Mac - Loc (chất liệu ultrathane)</t>
  </si>
  <si>
    <t>ULT</t>
  </si>
  <si>
    <t xml:space="preserve"> Bộ bơm bóng có 2 nòng với đầy đủ phụ kiện đi kèm Angiflator KB dành cho các sang thương phân nhánh (Bơm cùng 1 lúc 2 bóng cho các ca kissing balloon)</t>
  </si>
  <si>
    <t>Scitech/
Brazil</t>
  </si>
  <si>
    <t>109879 (Angiflator KB KIT)</t>
  </si>
  <si>
    <t xml:space="preserve">Bộ bơm bóng áp lực cao bao gồm đầy đủ phụ kiện đi kèm - Angiflator + kit </t>
  </si>
  <si>
    <t>Perouse/
Pháp</t>
  </si>
  <si>
    <t>Flamigo</t>
  </si>
  <si>
    <t>Bóng nong động mạch ngoại vi (chậu, thận, khoeo, đùi) -  trên dây dẫn 0.035"</t>
  </si>
  <si>
    <t>Advance 35</t>
  </si>
  <si>
    <t>Bóng nong động mạch ngoại vi (chậu, thận, khoeo, đùi) - Loại Advance trên dây dẫn 0.018"</t>
  </si>
  <si>
    <t>Advance 18</t>
  </si>
  <si>
    <t>Bóng nong động mạch ngoại vi (chậu, thận, khoeo, đùi) - Loại Advance trên dây dẫn 0.014"</t>
  </si>
  <si>
    <t>Advance 14</t>
  </si>
  <si>
    <t xml:space="preserve">Dụng cụ lấy dị vật (snare) trong lòng mạch dạng thòng lọng, dạng gắp </t>
  </si>
  <si>
    <t>Snare</t>
  </si>
  <si>
    <r>
      <t>Dao mở mạch vi phẫu liền cán dài 19mm (lưỡi dao dài 3mm nghiêng với cán 0</t>
    </r>
    <r>
      <rPr>
        <vertAlign val="superscript"/>
        <sz val="7"/>
        <rFont val="Arial"/>
        <family val="2"/>
      </rPr>
      <t>o</t>
    </r>
    <r>
      <rPr>
        <sz val="7"/>
        <rFont val="Arial"/>
        <family val="2"/>
      </rPr>
      <t>, 35</t>
    </r>
    <r>
      <rPr>
        <vertAlign val="superscript"/>
        <sz val="7"/>
        <rFont val="Arial"/>
        <family val="2"/>
      </rPr>
      <t>o</t>
    </r>
    <r>
      <rPr>
        <sz val="7"/>
        <rFont val="Arial"/>
        <family val="2"/>
      </rPr>
      <t>)</t>
    </r>
  </si>
  <si>
    <t>Mani/ Nhật Bản</t>
  </si>
  <si>
    <t>FDVKE100
FDVKE101</t>
  </si>
  <si>
    <t>Dao mở mạch vi phẫu liền cán dài 19mm (lưỡi dao hình máng để gạt mô)</t>
  </si>
  <si>
    <t>FDVKE500</t>
  </si>
  <si>
    <t>Chỉ thép đầu kim chữ Y dài 45cm, đường kính dây 0.8-0.899mm</t>
  </si>
  <si>
    <t>48 cái/hộp</t>
  </si>
  <si>
    <t>0845SW</t>
  </si>
  <si>
    <t>Chỉ thép đầu kim tròn dài 45cm, đường kính dây 0.8-0.899mm</t>
  </si>
  <si>
    <t>0845SWB</t>
  </si>
  <si>
    <t xml:space="preserve">Kìm đóng da </t>
  </si>
  <si>
    <t>AZ35WS/
S235WS/
S215WS</t>
  </si>
  <si>
    <t>Kìm tháo ghim loại dùng nhiều lần</t>
  </si>
  <si>
    <t>SR-1S</t>
  </si>
  <si>
    <t>Tổng cộng giá dự thầu: Ba tỷ sáu trăm tám mươi bảy triệu ba trăm năm mươi nghìn đồng</t>
  </si>
  <si>
    <t>LÔ HÀNG SỐ 40</t>
  </si>
  <si>
    <t xml:space="preserve">Hạt vi cầu nút mạch vĩnh viễn các cỡ </t>
  </si>
  <si>
    <t>lọ</t>
  </si>
  <si>
    <t>BioCompatibles/ Anh
CeloNova-Mỹ/ Đức</t>
  </si>
  <si>
    <t>xxxx20-S1
EB2Sxxx</t>
  </si>
  <si>
    <t xml:space="preserve">Hạt tổng hợp gây tắc mạch PVA 9 Các size </t>
  </si>
  <si>
    <t>xxxx10-S1
EB1Sxxx</t>
  </si>
  <si>
    <t xml:space="preserve">Catheter dẫn lưu đầu cong </t>
  </si>
  <si>
    <t>PCNxxx</t>
  </si>
  <si>
    <t>Kim chọc dò cán chữ T, mũi vát</t>
  </si>
  <si>
    <t>Synimed/ Pháp</t>
  </si>
  <si>
    <t>8840xx</t>
  </si>
  <si>
    <t>Kim chọc dò cán chữ tròn, mũi vát</t>
  </si>
  <si>
    <t>Bộ bơm xi măng</t>
  </si>
  <si>
    <t>Xi măng cột sống</t>
  </si>
  <si>
    <t>880825</t>
  </si>
  <si>
    <t>Kìm cụ cắt coil</t>
  </si>
  <si>
    <t>Kaneka/ Nhật Bản</t>
  </si>
  <si>
    <t>347-404</t>
  </si>
  <si>
    <t xml:space="preserve">Kim bơm xi măng rời (10G, 13G) </t>
  </si>
  <si>
    <t>Xi măng tạo hình đốt sống</t>
  </si>
  <si>
    <t>8808xx</t>
  </si>
  <si>
    <t xml:space="preserve">Ống chọc sinh thiết đồng trục </t>
  </si>
  <si>
    <t xml:space="preserve">Hộp trộn xi măng </t>
  </si>
  <si>
    <t>Bộ chọc đường mật (bao gồm 1 kim Chiba 22G, 1 ống nong lòng mạch, 1 dây dẫn 0.018” dài 80cm và 1 catheter 6F dài 20cm có marker bằng platinum)</t>
  </si>
  <si>
    <t>PDSxxx</t>
  </si>
  <si>
    <t>Bộ chọc dẫn lưu (bao gồm 1 kim chiba 0.7mm, 22G; 1 kim chọc dẫn lưu 1.05mm, 19G; 1 dây dẫn 0.035”, 125cm; 1 exchange guidewire 90cm, 1 catheter dẫn lưu 12 lỗ, dài 60cm, đầu thẳng)</t>
  </si>
  <si>
    <t>PTCDxxx</t>
  </si>
  <si>
    <t>Stent niệu quản (Sonde JJ)</t>
  </si>
  <si>
    <t>SOTxxx</t>
  </si>
  <si>
    <t>Catheter dẫn lưu bể thận kèm kim chọc 10F</t>
  </si>
  <si>
    <t>U-PCNxxx</t>
  </si>
  <si>
    <t>Catheter dẫn lưu bể thận không kèm kim chọc 10F</t>
  </si>
  <si>
    <t>Bộ dẫn lưu  đường mật qua da</t>
  </si>
  <si>
    <t>HS/ Ý</t>
  </si>
  <si>
    <t>HSGPxxx</t>
  </si>
  <si>
    <t>IPNxxx</t>
  </si>
  <si>
    <t>Kim sinh thiết lấy mẫu mô nhanh dùng cho sinh thiết, không cần dùng súng,</t>
  </si>
  <si>
    <t>PRExxx</t>
  </si>
  <si>
    <t>Bằng chữ: Sáu tỷ bốn trăm chín mươi sáu triệu bốn trăm chín mươi tám ngàn đồng.</t>
  </si>
  <si>
    <t>LÔ HÀNG SỐ 41</t>
  </si>
  <si>
    <t>Vít khóa tự ta rô đk các cỡ
Tên thương mại: Vít khóa tự ta rô đk các cỡ</t>
  </si>
  <si>
    <t>1 Cái/gói</t>
  </si>
  <si>
    <t>Sanatmetal-Hungary</t>
  </si>
  <si>
    <t>220870xxx
220835xxx
220845xxx</t>
  </si>
  <si>
    <t>1tem/1SP</t>
  </si>
  <si>
    <t>LIÊN DANH ĐẠI TIẾN ĐỨC - HÀ NINH</t>
  </si>
  <si>
    <t>Vít khóa xương xốp tự ta rô các cỡ
Tên thương mại: Vít khóa xương xốp tự ta rô các cỡ</t>
  </si>
  <si>
    <t>220965xxx
220940xxx</t>
  </si>
  <si>
    <t>Nẹp Khóa bản nhỏ 6-10 lỗ
Tên thương mại: Nẹp Khóa bản nhỏ 6-10 lỗ</t>
  </si>
  <si>
    <t>2341100xx</t>
  </si>
  <si>
    <t>Nẹp khóa có lỗ vít đa trục chữ T các loại
Tên thương mại: Nẹp khóa chữ T các loại</t>
  </si>
  <si>
    <t>2401000xx</t>
  </si>
  <si>
    <t>Nẹp khóa có lỗ vít đa trục đầu trên xương chày trái-phải 6-12 lỗ
Tên thương mại: Nẹp khóa đầu trên xương chày trái-phải 6-12 lỗ</t>
  </si>
  <si>
    <t>24011xxxx</t>
  </si>
  <si>
    <t>Nẹp khóa bản hẹp 6-12 lỗ
Tên thương mại: Nẹp khóa bản hẹp 6-12 lỗ</t>
  </si>
  <si>
    <t>2341120xx</t>
  </si>
  <si>
    <t>Nẹp khóa bản rộng 8-14 lỗ
Tên thương mại: Nẹp khóa bản rộng 8-14 lỗ</t>
  </si>
  <si>
    <t>2341160xx</t>
  </si>
  <si>
    <t>Nẹp khóa có lỗ vít đa trục chữ T, L trái-phải, 4-8 lỗ
Tên thương mại: Nẹp khóa chữ T, L trái-phải, 4-8 lỗ</t>
  </si>
  <si>
    <t>2401000xx
240912xxx</t>
  </si>
  <si>
    <t>Nẹp khóa có lỗ vít đa trục mặt trong đầu xa xương chày, trái-phải, 6-12 lỗ
Tên thương mại: Nẹp khóa đầu xa xương chày, trái-phải, 6-12 lỗ</t>
  </si>
  <si>
    <t>24012xxxx
24020xxxx</t>
  </si>
  <si>
    <t>Nẹp khóa có lỗ vít đa trục đầu trên, dưới xương đùi trái-phải, 5-9 lỗ
Tên thương mại: Nẹp khóa đầu trên, dưới xương đùi trái-phải, 5-9 lỗ</t>
  </si>
  <si>
    <r>
      <rPr>
        <sz val="12"/>
        <rFont val="Times New Roman"/>
        <family val="1"/>
      </rPr>
      <t>24090</t>
    </r>
    <r>
      <rPr>
        <sz val="12"/>
        <color theme="1"/>
        <rFont val="Times New Roman"/>
        <family val="1"/>
      </rPr>
      <t>xxxx
24025xxxx</t>
    </r>
  </si>
  <si>
    <t>Đinh nội tủy có chốt xương đùi, rỗng nòng, định vị điện từ các cỡ
Tên thương mại: Đinh nội tủy có chốt xương đùi SpectruM  các cỡ</t>
  </si>
  <si>
    <t>25730xxxx</t>
  </si>
  <si>
    <t>Vít chốt các cỡ
Tên thương mại: Vít chốt các cỡ</t>
  </si>
  <si>
    <t>9321xxxxx
2240xxxxx</t>
  </si>
  <si>
    <t>Đinh nội tủy có chốt xương chày, rỗng nòng, định vị điện từ các cỡ
Tên thương mại: Đinh nội tủy có chốt xương chày SpectruM các cỡ</t>
  </si>
  <si>
    <t>25720xxxx</t>
  </si>
  <si>
    <t>Tổng cộng giá dự thầu của hàng hóa đã bao gồm thuế, phí, lệ phí (kết chuyển sang bảng tổng hợp giá dự thầu)</t>
  </si>
  <si>
    <t>Bằng chữ: Ba trăm linh năm triệu không trăm năm mươi nghìn đồng chẵn./.</t>
  </si>
  <si>
    <t>LÔ HÀNG SỐ 42</t>
  </si>
  <si>
    <t xml:space="preserve">Vít cột sống thắt lưng - ngực đơn trục các cỡ, công nghệ can thiệp tối thiểu, vật liệu Titan Ti6AI4V </t>
  </si>
  <si>
    <t>SIGNUS MEDIZINTECHNIK/ Đức</t>
  </si>
  <si>
    <t>MP0110-xxxx</t>
  </si>
  <si>
    <t>1 tem/ gói</t>
  </si>
  <si>
    <t>Công ty Cổ phần Thiên Trường</t>
  </si>
  <si>
    <t>Vít cột sống thắt lưng - ngực đa trục các cỡ, công nghệ can thiệp tối thiểu, vật liệu Titan Ti6AI4V</t>
  </si>
  <si>
    <t>MP0120-xxxx</t>
  </si>
  <si>
    <t>Vít cột sống thắt lưng - ngực đơn trục rỗng nòng các cỡ, công nghệ can thiệp tối thiểu, vật liệu Titan Ti6AI4V</t>
  </si>
  <si>
    <t>MP0210-xxxx</t>
  </si>
  <si>
    <t>Vít cột sống thắt lưng - ngực đa trục rỗng nòng các cỡ, công nghệ can thiệp tối thiểu, vật liệu Titan Ti6AI4V</t>
  </si>
  <si>
    <t>MP0220-xxxx</t>
  </si>
  <si>
    <t xml:space="preserve">Vít nắn trượt cột sống thắt lưng - ngực đa trục các cỡ, công nghệ can thiệp tối thiểu, vật liệu Titan Ti6AI4V </t>
  </si>
  <si>
    <t>MP0160-xxxx</t>
  </si>
  <si>
    <t xml:space="preserve">Vít nắn trượt cột sống thắt lưng - ngực đơn trục các cỡ, công nghệ can thiệp tối thiểu, vật liệu Titan Ti6AI4V </t>
  </si>
  <si>
    <t>MP0130-xxxx</t>
  </si>
  <si>
    <t xml:space="preserve">Vít cột sống thắt lưng - ngực đa trục các cỡ, công nghệ can thiệp tối thiểu, dùng cho bệnh nhân loãng xương, vật liệu Titan Ti6AI4V </t>
  </si>
  <si>
    <t>MP2321-xxxx</t>
  </si>
  <si>
    <t>Ốc khoá các loại</t>
  </si>
  <si>
    <t>MPx140-00xx</t>
  </si>
  <si>
    <t>Nẹp nối ngang các cỡ</t>
  </si>
  <si>
    <t>MP0150-xxxx</t>
  </si>
  <si>
    <t>Nẹp dọc tròn 500mm</t>
  </si>
  <si>
    <t>120500A</t>
  </si>
  <si>
    <t>Ống nối bơm xi măng vào vít loãng xương</t>
  </si>
  <si>
    <t>G21/ Ý</t>
  </si>
  <si>
    <t>900146-x</t>
  </si>
  <si>
    <t>Miếng ghép đĩa đệm cột sống lưng công nghệ PLIF các cỡ</t>
  </si>
  <si>
    <t>T2Kxxx1124</t>
  </si>
  <si>
    <t>Miếng ghép đĩa đệm cột sống lưng công nghệ TLIF, vật liệu PEEK OPTIMA các cỡ</t>
  </si>
  <si>
    <t>BTxx0928</t>
  </si>
  <si>
    <t>Nẹp cột sống cổ 1 tầng dùng vít nở khoá, 4 lỗ</t>
  </si>
  <si>
    <t>D1-0xx</t>
  </si>
  <si>
    <t>Nẹp cột sống cổ 2 tầng dùng vít nở khoá, 6 lỗ</t>
  </si>
  <si>
    <t>D2-0xx</t>
  </si>
  <si>
    <t>Nẹp cột sống cổ 3 tầng dùng vít nở khoá, 8 lỗ</t>
  </si>
  <si>
    <t>D3-0xx</t>
  </si>
  <si>
    <t>Vít nở khoá đa hướng các cỡ</t>
  </si>
  <si>
    <t>DV-4xxx</t>
  </si>
  <si>
    <t>Vít nở khoá đơn hướng các cỡ</t>
  </si>
  <si>
    <t>DX-4xxx</t>
  </si>
  <si>
    <t>Miếng ghép đĩa đệm cổ vật liệu PEEK OPTIMA các cỡ</t>
  </si>
  <si>
    <t>PK0xxxxx</t>
  </si>
  <si>
    <t>Miếng ghép đĩa đệm cổ vật liệu PEEK OPTIMA các cỡ, góc ưỡn 5 độ</t>
  </si>
  <si>
    <t>WK0xxxxx</t>
  </si>
  <si>
    <t>Lồng Titan thay thân đốt sống các cỡ</t>
  </si>
  <si>
    <t>ME10xxx</t>
  </si>
  <si>
    <t>Vòng đế Titan các cỡ</t>
  </si>
  <si>
    <t>MERxxxx</t>
  </si>
  <si>
    <t>Vít khoá Titan các cỡ</t>
  </si>
  <si>
    <t>MEV2523</t>
  </si>
  <si>
    <t>Xương nhân tạo dạng hạt, thể tích đóng gói 5cc</t>
  </si>
  <si>
    <t>1 gói/ hộp</t>
  </si>
  <si>
    <t>K006NT</t>
  </si>
  <si>
    <t>Xương nhân tạo dạng hạt, thể tích đóng gói 10cc</t>
  </si>
  <si>
    <t>K003NT</t>
  </si>
  <si>
    <t>Xương nhân tạo dạng hạt, thể tích đóng gói 20cc</t>
  </si>
  <si>
    <t>K004NT</t>
  </si>
  <si>
    <t>Xương nhân tạo dạng hạt, thể tích đóng gói 30cc</t>
  </si>
  <si>
    <t>K005NT</t>
  </si>
  <si>
    <t>Xương nhân tạo dạng Gel, đóng gói trong Xi-lanh tiệt trùng dùng trực tiếp, dung tích 1cc</t>
  </si>
  <si>
    <t>KG03NT</t>
  </si>
  <si>
    <t xml:space="preserve">Hộp xi măng không bóng bao gồm 01 gói xi măng và 01 bộ trộn </t>
  </si>
  <si>
    <t>1 bộ/ hộp</t>
  </si>
  <si>
    <t>2 tem/ gói</t>
  </si>
  <si>
    <t>Bộ kim bơm xi măng bao gồm 01 súng bơm xi măng và 01 kim chọc dò các cỡ</t>
  </si>
  <si>
    <t>2 cái/ hộp</t>
  </si>
  <si>
    <t>3 tem/ gói</t>
  </si>
  <si>
    <t>Bộ kim sinh thiết thân đốt sống các cỡ kèm ống lấy mẫu</t>
  </si>
  <si>
    <t>1 bộ/ gói</t>
  </si>
  <si>
    <t>VV xx yyy 8</t>
  </si>
  <si>
    <t>Bằng chữ: Hai tỷ hai trăm chín sáu triệu bảy trăm ngàn đồng./.</t>
  </si>
  <si>
    <t>LÔ HÀNG SỐ 43</t>
  </si>
  <si>
    <t>901</t>
  </si>
  <si>
    <t>Bóng nong mạch ngoại vi Sterling chất liệu Pebax phủ Hydrophilic, tương thích dây dẫn 0.014''/0.018''</t>
  </si>
  <si>
    <t>01 cái /hộp</t>
  </si>
  <si>
    <t>20</t>
  </si>
  <si>
    <t>Hãng sx: Boston Scientific/ Mỹ; 
Nước sx: Mỹ</t>
  </si>
  <si>
    <t>Sterling
H74939032xxxxx0;
…</t>
  </si>
  <si>
    <t>902</t>
  </si>
  <si>
    <t>Bóng nong mạch ngoại vi áp lực cao Mustang, chất liệu Nybax phủ Hydrophilic công nghệ Medi- glide</t>
  </si>
  <si>
    <t>Hãng sx: Boston Scientific/ Mỹ; 
Nước sx: Mỹ; Ireland</t>
  </si>
  <si>
    <t>Mustang
H74939171xxxxx0;
…</t>
  </si>
  <si>
    <t>903</t>
  </si>
  <si>
    <t>Dây dẫn can thiệp mạch máu ái nước loại nhỏ dễ điều khiển dạng V-18 Controlwire chất liệu Scitanium loại 0.018''</t>
  </si>
  <si>
    <t>Hãng sx: Boston Scientific/ Mỹ; 
Nước sx: Mỹ, Costa Rica</t>
  </si>
  <si>
    <t>V-18 Control Wire Guidewire
M001468xx0;
…</t>
  </si>
  <si>
    <t>904</t>
  </si>
  <si>
    <t>Bộ phận kết nối nhiều cổng (Manifold)</t>
  </si>
  <si>
    <t>Hãng sx: Perouse/ Pháp; 
Nước sx: Pháp</t>
  </si>
  <si>
    <t>Manifold
0170TJ;
…</t>
  </si>
  <si>
    <t>905</t>
  </si>
  <si>
    <t>Dây dẫn can thiệp mạch máu nhỏ và động mạch thận phủ Silicone theo công nghệ Duraglide, tỷ lệ đầu dây dẫn đáp ứng xoay 1:1 các cỡ 0.014'' và 0.018''</t>
  </si>
  <si>
    <t>1 cái/ hộp</t>
  </si>
  <si>
    <t>Thruway Guidewire
M001492xx1;
…</t>
  </si>
  <si>
    <t>906</t>
  </si>
  <si>
    <t xml:space="preserve">Dây dẫn can thiệp mạch ngoại vi chất liệu Nitinol loại ái nước các cỡ 0.018'', 0.025'',  0.035", 0.038" </t>
  </si>
  <si>
    <t>5 cái /hộp</t>
  </si>
  <si>
    <t>ZIPwire Guidewire
M00146xxxB1;
…</t>
  </si>
  <si>
    <t>907</t>
  </si>
  <si>
    <t>Dây dẫn can thiệp mạch máu siêu cứng Amplatz Super Stiff Guidewire phủ Teflon cỡ 0.035'' và 0.038''</t>
  </si>
  <si>
    <t>Hãng sx: Boston Scientific/ Mỹ; Nước sx: Mỹ; Costa Rica</t>
  </si>
  <si>
    <t>Amplatz Super Stiff Guidewire
M001465xx1;
…</t>
  </si>
  <si>
    <t>908</t>
  </si>
  <si>
    <t>909</t>
  </si>
  <si>
    <t>Bóng nong mạch ngoại vi áp lực cao Mustang, chất liệu Nybax phủ Hydrophilic công nghệ Medi- glide, tương thích dây dẫn 0.035''</t>
  </si>
  <si>
    <t>910</t>
  </si>
  <si>
    <t>Vi dây dẫn đường (Micro Guidewire) phủ Hydrophilic, chất liệu thép không ghỉ công nghệ Scitanium</t>
  </si>
  <si>
    <t>Transend
M001468xx0;
…</t>
  </si>
  <si>
    <t>911</t>
  </si>
  <si>
    <t>Bộ kit vi ống thông (Micro Catheter) can thiệp với cấu trúc sợi Vortec phủ Hydrophilic, công nghệ Hydropass</t>
  </si>
  <si>
    <t>Renegade
M00118xxx0;
…</t>
  </si>
  <si>
    <t>912</t>
  </si>
  <si>
    <t>Bộ dẫn lưu đường mật qua da phủ Hydrophilic công nghệ Glidex, chất liệu Flexima</t>
  </si>
  <si>
    <t>Flexima
M0012xxxx0;
…</t>
  </si>
  <si>
    <t>(Bằng chữ: Một tỷ, bốn trăm bảy mươi sáu triệu, chín trăm nghìn đồng chẵn./.)</t>
  </si>
  <si>
    <t>LÔ HÀNG SỐ 44</t>
  </si>
  <si>
    <r>
      <t xml:space="preserve">Nẹp mặt thẳng, bắc cầu 2- 6 lỗ,  </t>
    </r>
    <r>
      <rPr>
        <sz val="7"/>
        <color indexed="8"/>
        <rFont val="Arial"/>
        <family val="2"/>
      </rPr>
      <t>f  2.0x 1.0mm</t>
    </r>
  </si>
  <si>
    <t>01 cái/ Túi</t>
  </si>
  <si>
    <t>Bio Material - Hàn Quốc</t>
  </si>
  <si>
    <t>I2002-040-310</t>
  </si>
  <si>
    <t>Công ty Cổ phần Thiết bị Y tế và Thương Mại Hoa Cẩm Chướng</t>
  </si>
  <si>
    <r>
      <t xml:space="preserve">Nẹp mặt chữ L, Z, X, H, Y, hình vuông  </t>
    </r>
    <r>
      <rPr>
        <sz val="7"/>
        <color indexed="8"/>
        <rFont val="Arial"/>
        <family val="2"/>
      </rPr>
      <t>f  2.0x 1.0mm các loại</t>
    </r>
  </si>
  <si>
    <t xml:space="preserve">Y2005-310-310
LL2004-245-310
ZL2004-410-310
H2004-400-310
X2004-380-310
</t>
  </si>
  <si>
    <r>
      <t xml:space="preserve">Nẹp mặt thẳng 8 -10 lỗ, </t>
    </r>
    <r>
      <rPr>
        <sz val="7"/>
        <color indexed="8"/>
        <rFont val="Arial"/>
        <family val="2"/>
      </rPr>
      <t>f 2.0mm</t>
    </r>
  </si>
  <si>
    <t>I2008…I2010-025-310/110</t>
  </si>
  <si>
    <r>
      <t xml:space="preserve">Nẹp mặt thẳng 16 lỗ, </t>
    </r>
    <r>
      <rPr>
        <sz val="7"/>
        <color indexed="8"/>
        <rFont val="Arial"/>
        <family val="2"/>
      </rPr>
      <t>f 2.0 x  1.0</t>
    </r>
  </si>
  <si>
    <t>I2016-025-310/110</t>
  </si>
  <si>
    <r>
      <t xml:space="preserve">Nẹp mặt thẳng 20 -24 lỗ, </t>
    </r>
    <r>
      <rPr>
        <sz val="7"/>
        <color indexed="8"/>
        <rFont val="Arial"/>
        <family val="2"/>
      </rPr>
      <t>f 2.0 x 1.0</t>
    </r>
  </si>
  <si>
    <t>I2020…I2024-025-310/110</t>
  </si>
  <si>
    <r>
      <t xml:space="preserve">Nẹp mặt  cong ổ mắt C 6-8 lỗ, </t>
    </r>
    <r>
      <rPr>
        <sz val="7"/>
        <color indexed="8"/>
        <rFont val="Arial"/>
        <family val="2"/>
      </rPr>
      <t>f 2.0 x 1.0</t>
    </r>
  </si>
  <si>
    <t>C2006-365-310/110
C2008-360-310/110</t>
  </si>
  <si>
    <r>
      <t xml:space="preserve">Vít mặt </t>
    </r>
    <r>
      <rPr>
        <sz val="7"/>
        <color indexed="8"/>
        <rFont val="Arial"/>
        <family val="2"/>
      </rPr>
      <t>f 2.0 tự taro, tự khoan</t>
    </r>
  </si>
  <si>
    <t>10cái/ Hộp</t>
  </si>
  <si>
    <t>OOS-T2004…T2011</t>
  </si>
  <si>
    <r>
      <t xml:space="preserve">Nẹp hàm thẳng 4 - 6 lỗ, bắc cầu, </t>
    </r>
    <r>
      <rPr>
        <sz val="7"/>
        <color indexed="8"/>
        <rFont val="Arial"/>
        <family val="2"/>
      </rPr>
      <t>f 2.3 x 1.5</t>
    </r>
  </si>
  <si>
    <t>I2304…2306-030-315</t>
  </si>
  <si>
    <r>
      <t xml:space="preserve">Nẹp hàm V bắc cầu, </t>
    </r>
    <r>
      <rPr>
        <sz val="7"/>
        <color indexed="8"/>
        <rFont val="Arial"/>
        <family val="2"/>
      </rPr>
      <t>f 2.3 x 1.5</t>
    </r>
  </si>
  <si>
    <t>V2306-375-315</t>
  </si>
  <si>
    <r>
      <t xml:space="preserve">Nẹp hàm thẳng 8-10 lỗ; </t>
    </r>
    <r>
      <rPr>
        <sz val="7"/>
        <color indexed="8"/>
        <rFont val="Arial"/>
        <family val="2"/>
      </rPr>
      <t>f 2.3 x 1.5</t>
    </r>
  </si>
  <si>
    <t>I2308…I2310-030-315</t>
  </si>
  <si>
    <r>
      <t xml:space="preserve">Nẹp hàm thẳng 16 lỗ, </t>
    </r>
    <r>
      <rPr>
        <sz val="7"/>
        <color indexed="8"/>
        <rFont val="Arial"/>
        <family val="2"/>
      </rPr>
      <t>f 2.3 x 1.5</t>
    </r>
  </si>
  <si>
    <t>I2316-030-315</t>
  </si>
  <si>
    <r>
      <t xml:space="preserve">Vít hàm </t>
    </r>
    <r>
      <rPr>
        <sz val="7"/>
        <color indexed="8"/>
        <rFont val="Arial"/>
        <family val="2"/>
      </rPr>
      <t>f 2.3 tự taro, tự khoan các loại</t>
    </r>
  </si>
  <si>
    <t>OSS-T2304…T2311</t>
  </si>
  <si>
    <t>LÔ HÀNG SỐ 45</t>
  </si>
  <si>
    <t>Nẹp sọ não Micro, 1.5 x 0.6mm, từ 4 đến 10 lỗ.</t>
  </si>
  <si>
    <t>I1504….I1510-010-205</t>
  </si>
  <si>
    <t>2 tem</t>
  </si>
  <si>
    <t>Nẹp sọ não Micro, 1.5 x 0.6mm, 16 lỗ.</t>
  </si>
  <si>
    <t>I1516-010-205</t>
  </si>
  <si>
    <t>Vít sọ  não 1.5 x 4-11mm</t>
  </si>
  <si>
    <t>OSS-T1504….T1511</t>
  </si>
  <si>
    <t>Miếng vá sọ não kích thước 50x50mm</t>
  </si>
  <si>
    <t>1 miếng/ Túi</t>
  </si>
  <si>
    <t>BI-3D-MP-01</t>
  </si>
  <si>
    <t>Miếng vá sọ não kích thước 60x60mm</t>
  </si>
  <si>
    <t>BI-3D-MP-02</t>
  </si>
  <si>
    <t>Miếng vá sọ não kích thước 60x80mm</t>
  </si>
  <si>
    <t>BI-3D-MP-03</t>
  </si>
  <si>
    <t>Miếng vá sọ não kích thước 100x100mm</t>
  </si>
  <si>
    <t>BI-3D-MP-04</t>
  </si>
  <si>
    <t>Miếng vá sọ não kích thước 120x100mm</t>
  </si>
  <si>
    <t>BI-3D-MP-05</t>
  </si>
  <si>
    <t>Vít đốt sống lưng đơn trục Ф4.0 đến 6.5, dài  30- 55mm</t>
  </si>
  <si>
    <t>Norm - 
Thổ Nhĩ Kỳ</t>
  </si>
  <si>
    <t>NSMA40…65, 30...55</t>
  </si>
  <si>
    <t>Vít đốt sống lưng đa trục Ф4.5 - 6.5 dài từ 30-55mm</t>
  </si>
  <si>
    <t>NSPA40...65, 30...55</t>
  </si>
  <si>
    <t>Nẹp dọc đốt sống lưng  Ф6.0  các loại</t>
  </si>
  <si>
    <t>NSR16…</t>
  </si>
  <si>
    <t>Nẹp nối ngang đốt sống lưng các cỡ</t>
  </si>
  <si>
    <t>NSTL1…</t>
  </si>
  <si>
    <t>Miếng ghép đĩa đệm lưng  con hình trái chuối</t>
  </si>
  <si>
    <t>NBCA28…</t>
  </si>
  <si>
    <t>Mũ vít lục giác hai tầng zen</t>
  </si>
  <si>
    <t>NSSS</t>
  </si>
  <si>
    <t>LÔ HÀNG SỐ 46</t>
  </si>
  <si>
    <t>Nẹp khóa nén ép cho đầu trên và dưới xương cánh tay các loại.</t>
  </si>
  <si>
    <t>Aysam - 
Thổ Nhĩ Kỳ</t>
  </si>
  <si>
    <t>A162/163/164…</t>
  </si>
  <si>
    <t>Nẹp khóa nén ép Metaphysis số 1 cho đầu trên và dưới xương cánh tay 7 đến 18 lỗ</t>
  </si>
  <si>
    <t>A185…</t>
  </si>
  <si>
    <t>Nẹp khóa móc xương đòn Clavicle</t>
  </si>
  <si>
    <t>A2600…</t>
  </si>
  <si>
    <t>Nẹp khóa nén ép số 1 chữ T -  các loại.</t>
  </si>
  <si>
    <t>A148/151/152…</t>
  </si>
  <si>
    <t>Nẹp khóa nén ép số 1, dùng vít 3.5mm cho xương trụ, xương quay và thân xương mác các loại</t>
  </si>
  <si>
    <t>A182../184</t>
  </si>
  <si>
    <t>Nẹp khóa nén ép cho thân xương đòn  các loại.</t>
  </si>
  <si>
    <t>A103/104…</t>
  </si>
  <si>
    <t>Nẹp khóa đầu trên / dưới xương đùi,  thân xương đùi các loại.</t>
  </si>
  <si>
    <t xml:space="preserve">A112/113…+ A144/145... + A183... </t>
  </si>
  <si>
    <t>Nẹp khóa xương quay cổ tay, chữ Y các loại</t>
  </si>
  <si>
    <t>A53191…53192…</t>
  </si>
  <si>
    <t>Nẹp khóa đầu trên/ dưới xương chày, thân xương chày các loại</t>
  </si>
  <si>
    <t>A146/147…+ A182…</t>
  </si>
  <si>
    <t>Nẹp khóa chữ L, T dùng cho đầu trên xương chày, thân xương chày</t>
  </si>
  <si>
    <t>A149…+ A156…</t>
  </si>
  <si>
    <t>Nẹp khóa xương gót, mắt cá chân</t>
  </si>
  <si>
    <t>A5959…/A5999...</t>
  </si>
  <si>
    <t>Vít khóa tự taro (6mm), 3.5+ 5.0 các loại.</t>
  </si>
  <si>
    <t>A199…/A209</t>
  </si>
  <si>
    <t>Nẹp DCP bản nhỏ các cỡ vít 3.5mm</t>
  </si>
  <si>
    <t>A100 02 171…</t>
  </si>
  <si>
    <t>Nẹp DCP bản hẹp các cỡ vít 4.5mm</t>
  </si>
  <si>
    <t>A100 02 151…</t>
  </si>
  <si>
    <t>Nẹp DCP bản rộng các cỡ vít 4.5mm</t>
  </si>
  <si>
    <t>A100 02 161…</t>
  </si>
  <si>
    <t>Nẹp lòng máng  vít 3.5mm các loại</t>
  </si>
  <si>
    <t>A100 02 181…</t>
  </si>
  <si>
    <t>Nẹp mắt xích các loại</t>
  </si>
  <si>
    <t>A100 02 220/221...
A100 02 227/228…</t>
  </si>
  <si>
    <t>Nẹp chữ T, L  các loại.</t>
  </si>
  <si>
    <t>A100 02 190…
A100 02 200/201/203/204…</t>
  </si>
  <si>
    <t>Nẹp hình lá các cỡ,</t>
  </si>
  <si>
    <t>A100 02 270…</t>
  </si>
  <si>
    <t>Nẹp xương đòn các cỡ, vít 3.5mm</t>
  </si>
  <si>
    <t>Nẹp chữ Y các loại, các cỡ</t>
  </si>
  <si>
    <t>A100 02 224…</t>
  </si>
  <si>
    <t>Vít xương cứng các loại</t>
  </si>
  <si>
    <t xml:space="preserve">A100 03 219…
A100 03 223...
</t>
  </si>
  <si>
    <t>Vít xương xốp các loại</t>
  </si>
  <si>
    <t>A100 03 220…
A100 03 021...
A100 03 224…
A100 03 225 …
A100 03 226...</t>
  </si>
  <si>
    <t>Đinh nội tủy xương chày/ đùi có chốt ngang các cỡ, kèm vít chốt ngang 4.0 ( Có dụng cụ hỗ trợ)</t>
  </si>
  <si>
    <t>A4099.../A4199…/ A4194…</t>
  </si>
  <si>
    <t>Đinh Stecman các cỡ</t>
  </si>
  <si>
    <t>A100 003 050…</t>
  </si>
  <si>
    <t>Đinh Kirschner các loại các cỡ</t>
  </si>
  <si>
    <t>A100 03 073…</t>
  </si>
  <si>
    <t>Mũi khoan các cỡ</t>
  </si>
  <si>
    <t>A101 03 090/091…</t>
  </si>
  <si>
    <t>LÔ HÀNG SỐ 47</t>
  </si>
  <si>
    <t>Phụ kiện cắt Coil ID</t>
  </si>
  <si>
    <t>Ev3/ Mỹ</t>
  </si>
  <si>
    <t>ID</t>
  </si>
  <si>
    <t>03</t>
  </si>
  <si>
    <t>Công ty Cổ phần thiết bị y tế VNT</t>
  </si>
  <si>
    <t xml:space="preserve">Chất tắc mạch dạng lỏng Onyx </t>
  </si>
  <si>
    <t>01 lọ/ hộp</t>
  </si>
  <si>
    <t>Onyx</t>
  </si>
  <si>
    <t>Dây dẫn nhỏ Mirage</t>
  </si>
  <si>
    <t>Mirage</t>
  </si>
  <si>
    <t>Dây dẫn nhỏ X-pedion</t>
  </si>
  <si>
    <t>X-pedion/
X-celerator</t>
  </si>
  <si>
    <t>Ống thông Marathon</t>
  </si>
  <si>
    <t>Marathon</t>
  </si>
  <si>
    <t>Ống thông Rebar</t>
  </si>
  <si>
    <t>Rebar</t>
  </si>
  <si>
    <t>Ống thông Apollo</t>
  </si>
  <si>
    <t>Apollo</t>
  </si>
  <si>
    <t>Cáp cắt Solitaire AB</t>
  </si>
  <si>
    <t>Dụng cụ lấy dị vật Gooseneck Microsnare</t>
  </si>
  <si>
    <t>Gooseneck Microsnare</t>
  </si>
  <si>
    <r>
      <t xml:space="preserve">Tổng cộng có: 9 mặt hàng tham gia, tổng giá trị dự thầu là: 1,208,500,000 đồng.
 </t>
    </r>
    <r>
      <rPr>
        <i/>
        <sz val="7"/>
        <color theme="1"/>
        <rFont val="Arial"/>
        <family val="2"/>
      </rPr>
      <t>(Một tỷ, hai trăm lẻ tám triệu, năm trăm nghìn đồng chẵn)</t>
    </r>
  </si>
  <si>
    <t>LÔ HÀNG SỐ 48</t>
  </si>
  <si>
    <t>Nẹp khóa xương đòn trái, phải, các loại, Titan</t>
  </si>
  <si>
    <t>Medtronic Mỹ</t>
  </si>
  <si>
    <t>Mỹ/ Trung Quốc</t>
  </si>
  <si>
    <t>SDJPxxx</t>
  </si>
  <si>
    <t>Công ty TNHH MEDISON</t>
  </si>
  <si>
    <t>Nẹp khóa móc xương đòn,trái, phải các loại, Titan</t>
  </si>
  <si>
    <t>Nẹp khóa đầu dưới xương quay các loại, Titan</t>
  </si>
  <si>
    <t>SDJP007/</t>
  </si>
  <si>
    <t>Nẹp khóa đầu trên xương cánh tay,trái,phải, các loại, Titan</t>
  </si>
  <si>
    <t>Nẹp khóa đầu dưới xương cánh tay,trái,phải các loại, Titan</t>
  </si>
  <si>
    <t>SDJP012/</t>
  </si>
  <si>
    <t>Nẹp khóa thân xương cánh tay các loại, Titan</t>
  </si>
  <si>
    <t>SDZBxxx</t>
  </si>
  <si>
    <t>Nẹp khóa thân xương trụ, xương quay các loại, Titan</t>
  </si>
  <si>
    <t>Nẹp khóa đầu trên xương đùi, trái, phải, các loại, Titan</t>
  </si>
  <si>
    <t>Nẹp khóa đầu dưới xương đùi, trái, phải, các loại, Titan</t>
  </si>
  <si>
    <t>Nẹp khóa thân xương đùi các loại, Titan</t>
  </si>
  <si>
    <t>Nẹp khóa đầu trên xương chày, trái, phải, trong, ngoài các loại, Titan</t>
  </si>
  <si>
    <t>SDJP037/ SDJP039/SDJP040/ SDJP041</t>
  </si>
  <si>
    <t>Nẹp khóa thân xương chày các loại, Titan</t>
  </si>
  <si>
    <t>Nẹp khóa đầu dưới xương chày, trái, phải, trong,ngoài các loại, Titan</t>
  </si>
  <si>
    <t>Nẹp khóa mắt xích các loại, Titan</t>
  </si>
  <si>
    <t>Vít khóa đường kính 2.7mm, 3.5mm, 5.0mm các loại, Titan</t>
  </si>
  <si>
    <t>SDSL</t>
  </si>
  <si>
    <t>Vít khóa đường kính 6.5 mm  các loại, Titan</t>
  </si>
  <si>
    <t>SDKL</t>
  </si>
  <si>
    <t>Vít vỏ đường kính 3.5mm, 4.5mm, các loại, Titan</t>
  </si>
  <si>
    <t>HAQ03</t>
  </si>
  <si>
    <t>Đinh Gamma các loại, các cỡ, Titan</t>
  </si>
  <si>
    <t>SZF</t>
  </si>
  <si>
    <t>Đinh nội tủy xương đùi các loại, các cỡ, Titan</t>
  </si>
  <si>
    <t>Đinh nội tủy xương chày các loại, các cỡ, Titan</t>
  </si>
  <si>
    <t>SZE</t>
  </si>
  <si>
    <t>Tổng cộng giá dự thầu của lô hàng hóa đã bao gồm thuế, phí, lệ phí</t>
  </si>
  <si>
    <t>LÔ HÀNG SỐ 49</t>
  </si>
  <si>
    <t>Bộ cố định xương sọ mặt gồm:
- Vít tự bắt 1.6mm dài 4-5mm
- Nẹp titan thẳng 2 lỗ</t>
  </si>
  <si>
    <t>Osteomed - Mỹ</t>
  </si>
  <si>
    <t>218-0174-SP</t>
  </si>
  <si>
    <t>N/A</t>
  </si>
  <si>
    <t>Nẹp xương sọ titanium thẳng, 5 lỗ, 10 lỗ dài từ 4-8mm các cỡ dùng vít đường kính 1.6mm</t>
  </si>
  <si>
    <t>218-0030
218-0038</t>
  </si>
  <si>
    <t>Nẹp xương sọ titanium chữ Y kép, nẹp hình vuông cạnh 9mm, bề dày bản 0.5mm, dùng vít đường kính 1.6mm. Chất liệu titanium.</t>
  </si>
  <si>
    <t>218-0028
218-0020</t>
  </si>
  <si>
    <t>Nẹp xương sọ titanium hình tròn có lỗ dẫn lưu đường kính 1.6mm, bề dày bản 0.5mm, dùng vít đường kính 1.6mm. Chất liệu titanium</t>
  </si>
  <si>
    <t>218-0061</t>
  </si>
  <si>
    <t>Vít tự khoan Auto-Drive titanium đường kính 1.6mm dài từ 4-6mm.</t>
  </si>
  <si>
    <t>211-1604
211-1605
211-1606</t>
  </si>
  <si>
    <t>Nẹp cố định hộp sọ không dùng vít đường kính từ 11mm; 17mm; 22mm</t>
  </si>
  <si>
    <t>219-0011-SP
219-0017-SP
219-0022-SP</t>
  </si>
  <si>
    <t>Lưới vá sọ titanium 150 x 300mm, dùng vít đường kính 1.6mm</t>
  </si>
  <si>
    <t>218-0041</t>
  </si>
  <si>
    <t>Lưới vá sọ titanium 74 x 50mm Mesh Plate, Rigid dùng vít đường kính 1.6mm</t>
  </si>
  <si>
    <t>218-0052</t>
  </si>
  <si>
    <t>Lưới vá sọ titanium 125 x 180mm, dùng vít đường kính 1.6mm</t>
  </si>
  <si>
    <t>218-0053</t>
  </si>
  <si>
    <t>Lưới vá sọ titanium 40 x 40mm, dùng vít đường kính 1.6mm</t>
  </si>
  <si>
    <t>218-2001</t>
  </si>
  <si>
    <t>Lưới vá sọ titanium 90 x 90mm, dùng vít đường kính 1.6mm</t>
  </si>
  <si>
    <t>218-2003</t>
  </si>
  <si>
    <t>Lưới vá sọ titanium 165 x 95 mm, dùng vít đường kính 1.6mm</t>
  </si>
  <si>
    <t>218-2014</t>
  </si>
  <si>
    <t>Nẹp thẳng 10 lỗ dùng cho vít 1.6mm các cỡ</t>
  </si>
  <si>
    <t>218-0038</t>
  </si>
  <si>
    <t>Nẹp cằm 4 lỗ dùng cho vít 2.0mm các cỡ</t>
  </si>
  <si>
    <t>210-0041
210-0043
210-0040
210-0062
210-0042
210-0063
210-0044
210-0064
210-0046
210-0065
210-0048</t>
  </si>
  <si>
    <t>Nẹp mặt chữ L trái, phải dùng cho vít 2.0mm các cỡ</t>
  </si>
  <si>
    <t>210-0032
210-0034
210-0036</t>
  </si>
  <si>
    <t>Nẹp mặt chữ Y dùng cho vít 2.0mm các cỡ</t>
  </si>
  <si>
    <t>210-0236
210-0018
210-0218</t>
  </si>
  <si>
    <t>Nẹp mặt thẳng 6 lỗ, 8 lỗ, 10 lỗ, 12 lỗ, 16 lỗ, 18 lỗ các cỡ dùng cho vít 2.0mm</t>
  </si>
  <si>
    <t>210-0232
210-0034
210-0038
210-1031
210-1013</t>
  </si>
  <si>
    <t>Nẹp mặt chữ Z trái, phải dùng cho vít 2.0mm các cỡ</t>
  </si>
  <si>
    <t>210-0020
210-0022
210-0024
210-0026</t>
  </si>
  <si>
    <t>Vít tự khoan Auto-Drive titanium đường kính 1.6mm; 2.0mm; 2.4mm dài từ 4-8mm.</t>
  </si>
  <si>
    <t>211-2004
211-2005
211-2006
211-2008</t>
  </si>
  <si>
    <t>Vít tự khoan MMF Auto-Drive titanium đường kính 1.6mm; 2.0mm; 2.4mm dài từ 8-14mm.</t>
  </si>
  <si>
    <t>209-2008
209-2011
209-2014</t>
  </si>
  <si>
    <t>Nẹp thẳng 10 lỗ, 18 lỗ dùng cho vít 2.4mm các cỡ</t>
  </si>
  <si>
    <t>214-2410</t>
  </si>
  <si>
    <t>Bằng chữ: Bảy trăm bốn mươi ba triệu, bốn trăm ngàn đồng.</t>
  </si>
  <si>
    <t>LÔ HÀNG SỐ 50</t>
  </si>
  <si>
    <t>Chỉ tiêu nhanh tổng hợp đa sợi Marlin rapid số 2/0 chất liệu Polyglycolic acid, dài 90cm; kim tròn tam giác dài 37 mm, kim cong 1/2</t>
  </si>
  <si>
    <t>Catgut GmbH - Đức</t>
  </si>
  <si>
    <t>Công ty cổ phần trang thiết bị và vật tư y tế Hà Nội</t>
  </si>
  <si>
    <t>Chỉ tiêu nhanh tổng hợp đa sợi Marlin violet số 1 chất liệu Polyglycolic acid, dài 90cm; kim tròn tam giác dài 40mm kim cong 1/2</t>
  </si>
  <si>
    <t>Bằng chữ: Một trăm bảy mươi ba triệu đồng chẵn./.</t>
  </si>
  <si>
    <t>LÔ HÀNG SỐ 51</t>
  </si>
  <si>
    <t>Dây dẫn đường cho Microtheter</t>
  </si>
  <si>
    <t>Microvention/ Mỹ</t>
  </si>
  <si>
    <t>GCxxxxxxx</t>
  </si>
  <si>
    <t>1tem/cái</t>
  </si>
  <si>
    <t xml:space="preserve"> CÔNG TY TNHH THÀNH AN - HÀ NỘI</t>
  </si>
  <si>
    <t>ống thông can thiệp mạch não các loại</t>
  </si>
  <si>
    <t>MCxxxxxxx</t>
  </si>
  <si>
    <t>ống thông can thiệp mạch đầu mềm</t>
  </si>
  <si>
    <t>Coil nút mạch não loại không phủ Gel các loại, các cỡ</t>
  </si>
  <si>
    <t>1xxxxxCSSR-V, 1xxxxxHCR-V, , 1xxxxxHS-V, 1xxxxxCC-V, 1xxxxxCMSR-V, 1xxxxxCM-V, 1xxxxxHC-R-V, 1xxxxxHC-S-V, 1xxxxxCS-V,VFCxxxxx-V</t>
  </si>
  <si>
    <t>Coil nút mạch não loại có phủ Gel các loại, các cỡ</t>
  </si>
  <si>
    <t>1xxxxxHES-V, 1xxxxxH2HS-V</t>
  </si>
  <si>
    <t>Kìm cắt coil</t>
  </si>
  <si>
    <t>VG501</t>
  </si>
  <si>
    <t xml:space="preserve">Hợp chất polymer đồng nhất nút dị dạng động tĩnh mạch não </t>
  </si>
  <si>
    <t>LEN10xx</t>
  </si>
  <si>
    <t>Bằng chữ : Hai tỷ ba trăm bốn mươi lăm triệu đồng chẵn./.</t>
  </si>
  <si>
    <t xml:space="preserve">Tổng cộng gói thấu số 01: </t>
  </si>
  <si>
    <t xml:space="preserve">Số tiền bằng chữ: </t>
  </si>
  <si>
    <t>Ngày       tháng 08 năm 2016</t>
  </si>
  <si>
    <t>GIÁM ĐỐC</t>
  </si>
  <si>
    <t>GÓI THẦU SỐ 02:  VẬT TƯ HOÁ CHẤT CHO CÁC KỸ THUẬT CAO</t>
  </si>
  <si>
    <t>Biểu 2 B</t>
  </si>
  <si>
    <t>TT GÓI THẦU</t>
  </si>
  <si>
    <t>TT NHÀ THẦU</t>
  </si>
  <si>
    <t>TÊN HÀNG HÓA</t>
  </si>
  <si>
    <t>QUY CÁCH ĐÓNG GÓI</t>
  </si>
  <si>
    <t>ĐVT</t>
  </si>
  <si>
    <t>SỐ LƯỢNG</t>
  </si>
  <si>
    <t>ĐƠN GIÁ</t>
  </si>
  <si>
    <t>THÀNH TIỀN</t>
  </si>
  <si>
    <t>HÃNG,NƯỚC SX</t>
  </si>
  <si>
    <t>MÃ VẬT TƯ</t>
  </si>
  <si>
    <t>SỐ TEM/ĐV SP</t>
  </si>
  <si>
    <t>NHÀ THẦU CUNG CẤP</t>
  </si>
  <si>
    <t>Máy tạo nhịp 1 buồng không đáp ứng tần số với chức năng tự động kiểm tra ngưỡng thất cho mỗi xung tạo nhịp, tương thích MRI</t>
  </si>
  <si>
    <t>Hãng: St.Jude Medical
Nước sản xuất: Mỹ, Malaysia, Puerto Rico</t>
  </si>
  <si>
    <t>Máy tạo nhịp 1 buồng có đáp ứng tần số  với chức năng tự động kiểm tra ngưỡng thất cho mỗi xung tạo nhịp, tương thích MRI</t>
  </si>
  <si>
    <t>Máy tạo nhịp 2 buồng không đáp ứng tần số có cưỡng chế rung nhĩ, tương thích MRI</t>
  </si>
  <si>
    <t>Máy tạo nhịp 2 buồng có đáp ứng tần số  với chức năng tự động kiểm tra ngưỡng thất cho mỗi xung tạo nhịp, tương thích MRI</t>
  </si>
  <si>
    <t>TỔNG CỘNG:</t>
  </si>
  <si>
    <t>Bằng chữ: Năm trăm năm mươi bốn triệu một trăm ngàn đồng.</t>
  </si>
  <si>
    <t>PTCA balloon catheter loại áp lực cao Force NC</t>
  </si>
  <si>
    <t>Blue Medical/    Hà Lan</t>
  </si>
  <si>
    <t>XFOR2505, XFOR2510…</t>
  </si>
  <si>
    <t>Công ty Cổ phần Armephaco - Chi nhánh Hà Nội</t>
  </si>
  <si>
    <t>Bóng nong ĐMV loại phủ thuốc Protégé</t>
  </si>
  <si>
    <t>PRO2010, PRO2015…</t>
  </si>
  <si>
    <t>Bằng chữ: Sáu trăm mười lăm triệu đồng.</t>
  </si>
  <si>
    <t>Khung giá đỡ động mạch vành phủ thuôc Sirolimus</t>
  </si>
  <si>
    <t>Multimedics/
Ấn Độ</t>
  </si>
  <si>
    <t>Sxxxxxx</t>
  </si>
  <si>
    <t>Công ty cổ phần công nghệ sinh học Kim Hòa Phát</t>
  </si>
  <si>
    <t xml:space="preserve">Stent động mạch cảnh, chậu, chi, đòn trong có bọc bao phủ trong ngoài 2 lớp, các cỡ </t>
  </si>
  <si>
    <t>Bentley InnoMed/ 
Đức</t>
  </si>
  <si>
    <t>BGPxxxx</t>
  </si>
  <si>
    <t>Bóng nong động mạch ngoại vi (chậu, thận, khoeo, đùi)</t>
  </si>
  <si>
    <t>Medtronic/Mexico
      và
Invatec SPA/ Italia</t>
  </si>
  <si>
    <t xml:space="preserve">
SBIxxxxxx 
PCFxxxxxx
</t>
  </si>
  <si>
    <t>Bằng chữ: Một tỷ chín trăm năm mươi lăm triệu đồng.</t>
  </si>
  <si>
    <t>Bơm xi măng cột sống thường</t>
  </si>
  <si>
    <t>Stryker- Mỹ
/Pháp/ Thuỵ sĩ/ Ireland</t>
  </si>
  <si>
    <t>Stryker PCD
VERTEBROPLASTY</t>
  </si>
  <si>
    <t>Nẹp đốt sống cổ trước 3 tầng kiểu Reflex</t>
  </si>
  <si>
    <t>Stryker- Mỹ
/Pháp/ Thuỵ sĩ</t>
  </si>
  <si>
    <t>Reflex</t>
  </si>
  <si>
    <t>Nẹp Silicon Instraspine cố định gai sau cột sống</t>
  </si>
  <si>
    <t>Cousin- Pháp</t>
  </si>
  <si>
    <t>Intracalxx</t>
  </si>
  <si>
    <t>Bộ khớp háng Bibolar có xi măng kiểu Omifit</t>
  </si>
  <si>
    <t>Stryker- Mỹ
/Pháp/ Đức/ Ireland</t>
  </si>
  <si>
    <t>Bipolar Omnifit</t>
  </si>
  <si>
    <t>Bộ khớp háng Bibolar không xi măng kiểu Omifit</t>
  </si>
  <si>
    <t xml:space="preserve">Bipolar Cementless </t>
  </si>
  <si>
    <t>Bộ khớp háng toàn phần  không xi măng kiểu Omifit</t>
  </si>
  <si>
    <t>Omnifit</t>
  </si>
  <si>
    <t>Bộ khớp háng toàn phần không xi măng, ceramic on ceramic, phủ Bonit cán và ổ cối</t>
  </si>
  <si>
    <t>Biomet- Mỹ</t>
  </si>
  <si>
    <t>Taperloc cer</t>
  </si>
  <si>
    <t>Bằng chữ: Hai tỷ chín trăm triệu bốn trăm ngàn đồng.</t>
  </si>
  <si>
    <t>Đoạn mạch nhân tạo IMPRA dài 40, đường kính các cỡ</t>
  </si>
  <si>
    <t>JOTEC/ Đức</t>
  </si>
  <si>
    <t>10SW… 10TW...</t>
  </si>
  <si>
    <t>CÔNG TY CỔ PHẦN ĐẦU TƯ SẢN XUẤT VÀ THƯƠNG MẠI VIỆT NAM</t>
  </si>
  <si>
    <t>Đoạn mạch nhân tạo IMPRA dài 70, đường kính các cỡ</t>
  </si>
  <si>
    <t>10SW… 10TW…</t>
  </si>
  <si>
    <t>Khung giá đỡ động mạch vành phủ thuốc Paclitaxel</t>
  </si>
  <si>
    <t>Qualimed/ Đức</t>
  </si>
  <si>
    <t>AR…</t>
  </si>
  <si>
    <t>Bằng chữ: Hai tỷ ba trăm năm mươi triệu đồng.</t>
  </si>
  <si>
    <t>Ống hút huyết khối</t>
  </si>
  <si>
    <t>IBERHOSPITEX, S.A., -Tây Ban Nha</t>
  </si>
  <si>
    <t>Công ty Cổ phần Dược phẩm Thống Nhất</t>
  </si>
  <si>
    <t>Stent động mạch vành phủ thuốc Sirolimus</t>
  </si>
  <si>
    <t>Life Vascular Devices (LVD) Biotech S.L. - Tây Ban Nha</t>
  </si>
  <si>
    <t>Bằng chữ: Hai tỷ không trăm sáu mươi chín triệu năm trăm ngàn đồng.</t>
  </si>
  <si>
    <t>Hạt nút mạch</t>
  </si>
  <si>
    <t>Hộp tiệt 
trùng</t>
  </si>
  <si>
    <t>Biosphere Medical, 
Pháp/ Meritmedical, Mỹ</t>
  </si>
  <si>
    <t>Embosphere 
Microspheres 1ml</t>
  </si>
  <si>
    <t>CÔNG TY CỔ PHẦN DƯỢC PHẨM TRUNG ƯƠNG CODUPHA</t>
  </si>
  <si>
    <t>Khung giá đỡ động mạch vành bằng hợp kim Crom-coban loại không bọc thuốc</t>
  </si>
  <si>
    <t>Biotronik, 
Thụy Sĩ</t>
  </si>
  <si>
    <t>Pro-kinetic
 Energy</t>
  </si>
  <si>
    <t>Bóng nong mạch Vành áp lực cao</t>
  </si>
  <si>
    <t>Pantera Leo</t>
  </si>
  <si>
    <t>Bằng chữ: Bảy trăm tám mươi chín triệu tám trăm năm mươi ngàn đồng.</t>
  </si>
  <si>
    <t>Khung giá đỡ động mạch vành loại bọc thuốc Biolimus A9</t>
  </si>
  <si>
    <t>Biosensors Europe SA - Thụy Sĩ</t>
  </si>
  <si>
    <t>N 06.02.010</t>
  </si>
  <si>
    <t>Công ty Cổ phần Dược phẩm Trung ương CPC1</t>
  </si>
  <si>
    <t>Khung giá đỡ động mạch vành loại bọc thuốc  Biolimus A9 – không chứa Polymer</t>
  </si>
  <si>
    <t>Bằng chữ: Ba tỷ ba trăm bảy mươi lăm triệu đồng.</t>
  </si>
  <si>
    <t>Stent ĐMV hợp kim Cobal Chromium</t>
  </si>
  <si>
    <t>Vascular Concept - Ấn Độ</t>
  </si>
  <si>
    <t>Prozeta; PZ</t>
  </si>
  <si>
    <t>CÔNG TY CỔ PHẦN THIẾT BỊ Y TẾ HOÀNG NGA</t>
  </si>
  <si>
    <t xml:space="preserve">Khung giá đỡ động mạch vành phủ thuốc dòng Sirolimus trên nền hợp kim Cobalt chromium độ dài đa dạng từ 13,18,23,28 đến 48mm                                               </t>
  </si>
  <si>
    <t>PronovaXR</t>
  </si>
  <si>
    <t>Bộ bóng nong van 2 lá</t>
  </si>
  <si>
    <t>NM</t>
  </si>
  <si>
    <t>Bằng chữ: Hai tỷ ba trăm ba mươi hai triệu tám trăm ngàn đồng.</t>
  </si>
  <si>
    <t>Bộ khớp háng toàn phần không xi măng loại chuôi dài</t>
  </si>
  <si>
    <t>Hộp tiệt trùng</t>
  </si>
  <si>
    <t>Bộ</t>
  </si>
  <si>
    <t>Surgival -
 Tây Ban Nha</t>
  </si>
  <si>
    <t>Chuôi khớp: F0005412E -F0005418E
Chỏm khớp: A1509040E -A1509051E 
Ổ cối: A2400646E -A2400662E
Lót ổ cối: A2400746E - A2400762E
Vít: A2400520 - A2400545</t>
  </si>
  <si>
    <t>Công ty Cổ phần Thiết bị Y tế Long Giang</t>
  </si>
  <si>
    <t>Bộ khớp háng bán phần có xi măng</t>
  </si>
  <si>
    <t>Chuôi khớp: F0005109E -F0005115E
Chỏm khớp: A1509040E -A1509051E 
Cup: A1519041E -A1519055E
Insert: A1519141E - A1519151E
Nút chặn: F9000114
Xi măng: 1200/I
Ống trộn: ASA0320</t>
  </si>
  <si>
    <t>Bằng chữ: Ba trăm sáu mươi triệu đồng.</t>
  </si>
  <si>
    <t>Stent Nitinol ngoại biên</t>
  </si>
  <si>
    <t>Protégé GPS, Protégé Everflex</t>
  </si>
  <si>
    <t>Khung giá đỡ động mạch ngoại biên loại tự bung nhớ hình</t>
  </si>
  <si>
    <t>Vi ống thông siêu nhỏ trợ giúp can thiệp mạch não - để thả coil 0.020" và hỗ trợ ống thông hút huyết khối</t>
  </si>
  <si>
    <t>Echelon gập</t>
  </si>
  <si>
    <t>Stent đường mật tự bung bằng Nitinol</t>
  </si>
  <si>
    <t>Protégé GPS</t>
  </si>
  <si>
    <t>Ống thông Marksman</t>
  </si>
  <si>
    <t>Marksman</t>
  </si>
  <si>
    <t>Bóng tắc mạch Hyperform</t>
  </si>
  <si>
    <t>Hyperform</t>
  </si>
  <si>
    <t>Giá đỡ mạch máu Pipeline</t>
  </si>
  <si>
    <t>Pipeline, Pipeline Flex</t>
  </si>
  <si>
    <t>Cuộn nút mạch não Axium</t>
  </si>
  <si>
    <t>Coil Axium</t>
  </si>
  <si>
    <t>Bóng tắc mạch Hyperglide</t>
  </si>
  <si>
    <t>Hyperglide</t>
  </si>
  <si>
    <t>Hộp cắt Solitaire AB</t>
  </si>
  <si>
    <t>Stent chẹn cổ túi phình mạch não</t>
  </si>
  <si>
    <t>Solitaire AB</t>
  </si>
  <si>
    <t>Khung giá đỡ động mạch vành (Stent) phủ thuốc Sirolimus</t>
  </si>
  <si>
    <t>Meril - Ấn Độ</t>
  </si>
  <si>
    <t>BIO</t>
  </si>
  <si>
    <t>CÔNG TY CỔ PHẦN THƯƠNG MẠI CỔNG VÀNG</t>
  </si>
  <si>
    <t>Bằng chữ: Hai tỷ hai trăm hai mươi triệu đồng.</t>
  </si>
  <si>
    <t>Các vòng xoắn kim loại - Coils nút mạch có phủ gel</t>
  </si>
  <si>
    <t>35xxxxxx</t>
  </si>
  <si>
    <t>Vòng xoắn kim loại cỡ lớn 20 cho mạch thần kinh</t>
  </si>
  <si>
    <t>Bộ dụng cụ bơm xi măng tạo hình đốt sống Cememto Plus (bao gồm 1 súng bơm xi măng, 1 cút nối giảm áp, 1 ống hút xi măng, 2 kim bơm xi măng)</t>
  </si>
  <si>
    <t>88xxxx</t>
  </si>
  <si>
    <t>Stent đường mật bằng kim loại</t>
  </si>
  <si>
    <t>Allium/ Israel</t>
  </si>
  <si>
    <t>BISxxx</t>
  </si>
  <si>
    <t>Khung giá đỡ động mạch vành  bọc thuốc Sirolimus loại đặc biệt nở giữa</t>
  </si>
  <si>
    <t>AMSIRxxx</t>
  </si>
  <si>
    <t>Dù bít lỗ Thông Liên Nhĩ đặc biệt tốt cho trẻ nhỏ (Amplatzer)</t>
  </si>
  <si>
    <t>9-ASD-xxx</t>
  </si>
  <si>
    <t>Dù bít Còn ống Động Mạch (Amplatzer)</t>
  </si>
  <si>
    <t>9-PDA-xxx</t>
  </si>
  <si>
    <t>Dù bít Còn ống Động Mạch Thế hệ mới loại 2 cánh (ADO2) (Amplatzer)</t>
  </si>
  <si>
    <t>9-PDA2-xxx</t>
  </si>
  <si>
    <t>Khung giá đỡ động mạch có màng bọc (Cover Stent) dùng trong trường hợp Cấp Cứu</t>
  </si>
  <si>
    <t>7xxxxxxx</t>
  </si>
  <si>
    <t>Bằng chữ: Hai tỷ bốn trăm hai mươi triệu đồng.</t>
  </si>
  <si>
    <t>Khung giá đỡ động mạch vành loại phủ thuốc Rapamycin với lớp phủ polymer phân hủy sinh học độ dài từ từ 8mm đến 40mm Yukon choice</t>
  </si>
  <si>
    <t>Translumina -Đức</t>
  </si>
  <si>
    <t>Từ 
YCPC2008
đến 
YCPC4040</t>
  </si>
  <si>
    <t>Súng cắt trĩ sử dụng 01 lần phương pháp Longo</t>
  </si>
  <si>
    <t>01 bộ / Hộp</t>
  </si>
  <si>
    <t>HAIDA / 
Trung Quốc</t>
  </si>
  <si>
    <t>02 tem 
(01 tem của nhà sản xuất 
+ 01 tem của nhà nhập khẩu</t>
  </si>
  <si>
    <t>Công ty TNHH Đầu tư và Thương mại thiết bị y tế Gia Phát</t>
  </si>
  <si>
    <t>Bộ khớp háng bán phần  không xi măng</t>
  </si>
  <si>
    <t>Peter Brehm/ 
K-Implant/  Implantcast-CHLB Đức/ G7</t>
  </si>
  <si>
    <t>TN-12</t>
  </si>
  <si>
    <t>Công ty TNHH Hà Nội IEC</t>
  </si>
  <si>
    <t>Bộ khớp háng toàn phần không xi măng ceramic on ceramic Biolox</t>
  </si>
  <si>
    <t xml:space="preserve"> Peter Brehm/ Implantcast-CHLB Đức/ G7</t>
  </si>
  <si>
    <t>TN-13</t>
  </si>
  <si>
    <t>Bộ khớp háng toàn phần không xi măng ceramic on PE</t>
  </si>
  <si>
    <t>K-implant / 
Peter Brehm/ Implantcast-CHLB Đức/ G7</t>
  </si>
  <si>
    <t>TN-14</t>
  </si>
  <si>
    <t>Bộ khớp háng bán phần Ceramic on Ceramic, cán dài</t>
  </si>
  <si>
    <t>K-Implant/ 
Peter Brehm/ Implantcast - CHLB Đức/ G7</t>
  </si>
  <si>
    <t>TN-15</t>
  </si>
  <si>
    <t>Bộ khớp gối toàn phần có xi măng loại cố định hoặc linh động</t>
  </si>
  <si>
    <t>Peter Brehm,
CHLB Đức/ G7</t>
  </si>
  <si>
    <t>TN-16</t>
  </si>
  <si>
    <t>Bộ khớp gối toàn phần Hybrid loại cố định hoặc linh động</t>
  </si>
  <si>
    <t>TN-17</t>
  </si>
  <si>
    <t>Bộ khớp háng toàn phần không xi măng, ceramic on ceramic phủ HA chuôi và ổ cối</t>
  </si>
  <si>
    <t>Peter Brehm/ Implantcast - CHLB Đức/ G7</t>
  </si>
  <si>
    <t>TN-19</t>
  </si>
  <si>
    <t xml:space="preserve">Khớp gối toàn phần </t>
  </si>
  <si>
    <t>Zimmer / Mỹ</t>
  </si>
  <si>
    <t>Bộ khớp háng toàn phần không xi măng</t>
  </si>
  <si>
    <t>Bộ khớp háng toàn phần không xi măng lót siêu bền</t>
  </si>
  <si>
    <t>Khớp háng toàn phần không xi măng ceramic, lót siêu bền</t>
  </si>
  <si>
    <t>giảm 1 triệu</t>
  </si>
  <si>
    <t>Khớp háng toàn phần có xi măng</t>
  </si>
  <si>
    <t>Khớp háng toàn phần 1/2 xi măng</t>
  </si>
  <si>
    <t>Khớp háng lưỡng cực có xi măng</t>
  </si>
  <si>
    <t>Khớp háng lưỡng cực có xi măng loại chuôi dài</t>
  </si>
  <si>
    <t>Khớp háng bán phần không xi măng</t>
  </si>
  <si>
    <t>Khớp háng bán phần không xi măng chuôi dài</t>
  </si>
  <si>
    <t>Vít dây chằng giữ mảnh gép gân có thể điều chỉnh độ ngắn dài,có một size duy nhất</t>
  </si>
  <si>
    <t>Conmed / Mỹ</t>
  </si>
  <si>
    <t>KS-ALB</t>
  </si>
  <si>
    <t>Coils nút mạch não mềm</t>
  </si>
  <si>
    <t>Coils nút mạch não siêu mềm</t>
  </si>
  <si>
    <t>Giá đỡ nội mạch thay đổi dòng chay mạch não 2 lớp</t>
  </si>
  <si>
    <t>Bóng chèn cổ túi phình mạch não 2 nòng</t>
  </si>
  <si>
    <t xml:space="preserve">Stent bằng Cobalt-Chrom phủ thuốc Ultimaster Sirolimus mặt áp thành mạch với Polymer tự tiêu PDLLA-PCL trong 3-4 tháng </t>
  </si>
  <si>
    <t>ISO, EC</t>
  </si>
  <si>
    <t>Van cơ học hai lá lọai dễ đặt, có độ sa cánh van nhỏ hơn 4mm</t>
  </si>
  <si>
    <t>St.JUDE Medical/Mỹ</t>
  </si>
  <si>
    <t>ISO, EC, FDA</t>
  </si>
  <si>
    <t>Van động mạch chủ cơ học loại ngồi trên vòng van có độ mở cánh van tới 84%</t>
  </si>
  <si>
    <t>Van sinh học hai lá, động mạch chủ với hệ thống cấy ghép cải tiến các cỡ</t>
  </si>
  <si>
    <t>St.JUDE Medical/Braxin</t>
  </si>
  <si>
    <t>Bóng nong ĐMV sau can thiệp</t>
  </si>
  <si>
    <t>Vòng xoắn kim loại cỡ lớn đường kính 0.020"</t>
  </si>
  <si>
    <t>Penumbra  - Mỹ</t>
  </si>
  <si>
    <t>Coil 400; Ruby Coil</t>
  </si>
  <si>
    <t>Công Ty TNHH THIÊN VIỆT</t>
  </si>
  <si>
    <t>Ống thông hút huyết khối mạch não đường kính trong từ 0.035" đến 0.054"</t>
  </si>
  <si>
    <t>3Max; 4Max; 5Max Reperfusion</t>
  </si>
  <si>
    <t>Ốn thông hút huyết  khối  mach não trực tiếp có cấu tạo đặc biệt đường kính trong lớn tới 0.060"</t>
  </si>
  <si>
    <t>5Max ACE Reperfusion Catheter</t>
  </si>
  <si>
    <t>Bơm hút huyết khối</t>
  </si>
  <si>
    <t>MAX Pump</t>
  </si>
  <si>
    <t>Bóng nong ĐM ngoại biên phủ thuốc</t>
  </si>
  <si>
    <t>Eurocor, Đức</t>
  </si>
  <si>
    <t>114..., 335…,</t>
  </si>
  <si>
    <t>Guide wire dành cho tổn thương thông thường và hẹp vừa</t>
  </si>
  <si>
    <t>19262, 19315</t>
  </si>
  <si>
    <t>Bóng nong động mạch vành phủ thuốc Palitaxel</t>
  </si>
  <si>
    <t>DBM…</t>
  </si>
  <si>
    <t>Van tim nhân tạo cơ học động mạch chủ và hai lá không gây tiếng động loại intra-annular Các cỡ từ 19mm đến 33mm, Van nằm bên trong vòng van, chênh áp qua van thấp, công nghệ mở cánh van Pivot làm tăng huyết động, giảm huyết khối, tự rửa được cánh van không gây tắc nghẽn. Không gây tiếng ồn khi hoạt động.</t>
  </si>
  <si>
    <t>Hãng sx: Medtronic ATS Medical hoặc Medtronic/ Mỹ; 
Nước sx: Mỹ</t>
  </si>
  <si>
    <t>500FA; 500DM</t>
  </si>
  <si>
    <t>Van tim nhân tạo cơ học động mạch chủ và hai lá không gây tiếng động loại cao cấp supra-annular. Các cỡ từ 16mm đến 28 mm. Van nằm trên vòng van, chênh áp qua van thấp, công nghệ mở cánh van Pivot làm tăng huyết động, giảm huyết khối, tự rửa được cánh van không gây tắc nghẽn. Không gây tiếng ồn khi hoạt động.</t>
  </si>
  <si>
    <t>501DA; 503DA; 505DA; 501DM</t>
  </si>
  <si>
    <t xml:space="preserve">Cáp nối điện cực tạo nhịp tạm thời </t>
  </si>
  <si>
    <t>Hãng sx: Medtronic/ Mỹ; 
Nước sx: Mỹ</t>
  </si>
  <si>
    <t>5433A; 5433V</t>
  </si>
  <si>
    <t xml:space="preserve">1 tem dán chết </t>
  </si>
  <si>
    <t>Máy tạo nhịp một buồng không đáp ứng tần số VVI có quản lý tạo nhịp VCM, hướng dẫn điều trị Sensia</t>
  </si>
  <si>
    <t xml:space="preserve">Hãng sx: Medtronic/ Mỹ; 
Nước sx: Mỹ, Thụy Sỹ, Singapore </t>
  </si>
  <si>
    <t>SES01</t>
  </si>
  <si>
    <t xml:space="preserve">Máy tạo nhịp một buồng có đáp ứng tần số dòng VVIR có quản lý tạo nhịp VCM, hướng dẫn điều trị </t>
  </si>
  <si>
    <t>SESR01</t>
  </si>
  <si>
    <t xml:space="preserve">Máy tạo nhịp hai buồng không đáp ứng tần số  DDD có phần mềm search AV+ giúp giảm tạo nhịp thất, giảm suy tim </t>
  </si>
  <si>
    <t>SED01</t>
  </si>
  <si>
    <t>Máy tạo nhịp hai buồng có đáp ứng tần số DDDR có phần mềm search AV+ giúp giảm tạo nhịp thất, giảm suy tim</t>
  </si>
  <si>
    <t>SEDR01 hoặc SEDRL1</t>
  </si>
  <si>
    <t>Bộ phổi nhân tạo kèm dây dẫn (Bao gồm các hạng cân)</t>
  </si>
  <si>
    <t>01 bộ/ hộp</t>
  </si>
  <si>
    <r>
      <t xml:space="preserve">Phổi: 
Hãng sx: Medtronic/ Mỹ; 
Nước sx: Mỹ, Mexico
</t>
    </r>
    <r>
      <rPr>
        <i/>
        <sz val="8"/>
        <color indexed="8"/>
        <rFont val="Times New Roman"/>
        <family val="1"/>
      </rPr>
      <t xml:space="preserve">Dây dẫn: 
 Hãng sx: CSS/ Singapore; 
Nước sx: Singapore  </t>
    </r>
  </si>
  <si>
    <t>541T; 3301; BBP241</t>
  </si>
  <si>
    <t>Bóng nong mạch ngoại vi có gắn lưỡi dao nhỏ (cutting balloon), lưỡi dao chất liệu thép không gỉ, hình chữ T, có các điểm linh hoạt (Flexpoint).</t>
  </si>
  <si>
    <t>Hãng sx: Boston Scientific/ Mỹ; 
Nước sx: Mỹ, Ireland</t>
  </si>
  <si>
    <t xml:space="preserve"> Peripheral Cutting Balloon
M001PCBMxx15140F0;
M001PCBOxx15140F0;
M001PCBxxxxxxx0;
...</t>
  </si>
  <si>
    <t>Khung giá đỡ (stent) động mạch thận loại gắn trên bóng Express Vascular SD có thiết kế Tandem Architecture</t>
  </si>
  <si>
    <t>Express Vascular SD
H74937911xxxxx0;
H74937912xxxxx0;
...</t>
  </si>
  <si>
    <t>Khung giá đỡ động mạch cảnh tự bung chất liệu Epic, chất liệu Nitinol với vạch đánh dấu chắn xạ bằng Tantalum, thiết kế kết hợp Closed và Open Cells hoặc chất liệu Scitanium</t>
  </si>
  <si>
    <t>Epic; 
Carotid WALLSTENT
H749392000xxxx0;
H749392001xxxx0;
M0017190xx;
...</t>
  </si>
  <si>
    <t>Khung giá đỡ động mạch ngoại vi (đường mật, chậu, khí phế quản, tĩnh mạch ) tự bung ứng dụng công nghệ Halo, chất liệu Elgiloy</t>
  </si>
  <si>
    <t>Wallstent
M0017111xx0;
H9654xxxx0;
...</t>
  </si>
  <si>
    <t>Khung giá đỡ (stent) động mạch chậu tự bung Epic, chất liệu Nitinol với vạch đánh dấu chắn xạ bằng Tantalum, thiết kế kết hợp Closed và Open Cells</t>
  </si>
  <si>
    <t>Epic
H749392000xxxx0;
H749392001xxxx0;
...</t>
  </si>
  <si>
    <t>Khung giá đỡ động mạch vành Promus PREMIER (stent) bằng Platinum Chromium bọc thuốc Everolimus thế hệ Ba hoặc PROMUS Element Plus</t>
  </si>
  <si>
    <t>Promus PREMIER;
PROMUS Element Plus
H74939251xxxx0;
H74939184xxxx0;
...</t>
  </si>
  <si>
    <t>Bóng mong ĐMV trước can thiệp</t>
  </si>
  <si>
    <t>Công Ty TNHH Thương Mại Xây Dựng Và Chuyển Giao Công Nghệ Toàn Cầu</t>
  </si>
  <si>
    <t>Khung giá đỡ động mạch vành không phủ thuốc, bề mặt stent được carbon hóa bằng kỹ thuật trơ</t>
  </si>
  <si>
    <t>1hộp/cái</t>
  </si>
  <si>
    <t>amg GmbH/
Đức</t>
  </si>
  <si>
    <t>xx CCS xx
xx CCL xx</t>
  </si>
  <si>
    <t xml:space="preserve">Khung giá đỡ động mạch vành được carbon hóa bề mặt bằng kỹ thuật trơ, phủ thuốc Rapamycine Itrix trên nền polymer tự tiêu </t>
  </si>
  <si>
    <t>xx ICS xx MR
xx ICL xx MR</t>
  </si>
  <si>
    <t>Khung giá đỡ động mạch thận và mạch ngoại vi</t>
  </si>
  <si>
    <t>Abbott Vascular – Mỹ, Ireland, Costa Rica, Puerto Rico, Thụy Sỹ, Mexico</t>
  </si>
  <si>
    <t>10115xx-xx</t>
  </si>
  <si>
    <t>02 bao gồm: tem của nhà sản xuất và nhãn phụ của nhà thầu</t>
  </si>
  <si>
    <t>Công ty TNHH Tư vấn, Thương mại và Dịch vụ khoa học kỹ thuật T.R.A.N.S.M.E.D.</t>
  </si>
  <si>
    <t>Dây lái dùng cho can thiệp ngoại biên</t>
  </si>
  <si>
    <t>100520x;
1002703;
1002703-xx;
1007710;
1007709</t>
  </si>
  <si>
    <t>Guide wire loại đặc biệt trong can thiệp tổn thương tắc mãn tính</t>
  </si>
  <si>
    <t>10118xx;
10033xxH;
10033xxHJ;
101048x-H</t>
  </si>
  <si>
    <t>Peripheral Guide wire loại dành cho tổn thương tắc mãn tính động mạch chi dưới</t>
  </si>
  <si>
    <t>10124xx;
2078xxx</t>
  </si>
  <si>
    <t>Khung giá đỡ động mạch vành tự tiêu sinh học phủ thuốc Everolimus</t>
  </si>
  <si>
    <t>101246x-xx</t>
  </si>
  <si>
    <t>Khung giá đỡ động mạch vành  hợp kim Cobalt-Chrome bọc thuốc Everolimus, có phủ bề mặt kim loại là polymer bền vững.</t>
  </si>
  <si>
    <t>10095xx-xx;
10117xx-xx;
1070xxx-xx</t>
  </si>
  <si>
    <t>Bơm xi măng cột sống có bóng</t>
  </si>
  <si>
    <t>Taeyeon/Hàn Quốc</t>
  </si>
  <si>
    <t>Công ty TNHH XNK Thiết Bị Y Tế An Bình và công ty TNHH Tân Đại Dương</t>
  </si>
  <si>
    <t xml:space="preserve">Khớp háng bán phần tự định vị tâm xoay không xi măng </t>
  </si>
  <si>
    <t>Các chi tiết được đóng gói tiệt trùng riêng.
1 chi tiết/hộp</t>
  </si>
  <si>
    <t xml:space="preserve">Khớp háng toàn phần không xi măng, khóa đáy ổ cối </t>
  </si>
  <si>
    <t>CỘNG:</t>
  </si>
  <si>
    <t>TỔNG CỘNG GÓI 02:</t>
  </si>
  <si>
    <t>Bằng chữ: Năm mươi lăm tỷ một trăm lẻ tám triệu sáu trăm sáu mươi tám ngàn đồng</t>
  </si>
  <si>
    <r>
      <t>GÓI THẦU SỐ 03:  VẬT TƯ HO</t>
    </r>
    <r>
      <rPr>
        <b/>
        <sz val="14"/>
        <color rgb="FFFF0000"/>
        <rFont val="Times New Roman"/>
        <family val="1"/>
      </rPr>
      <t>Á CHẤT CHO MÁY Y TẾ CHUYÊN DỤNG</t>
    </r>
  </si>
  <si>
    <t>Biểu 3 B</t>
  </si>
  <si>
    <t>LÔ HÀNG SỐ 1 : PHIM KHÔ X QUANG DÙNG CHO MÁY IN CR SONNY</t>
  </si>
  <si>
    <t>TT GT</t>
  </si>
  <si>
    <t>TT NH</t>
  </si>
  <si>
    <t>TRÚNG THẦU</t>
  </si>
  <si>
    <t>KẾ HỌACH ĐẤU THẦU NĂM 2016-2017</t>
  </si>
  <si>
    <t>SO SÁNH GIÁ</t>
  </si>
  <si>
    <t>HÃNG SẢN XuẤT</t>
  </si>
  <si>
    <t>NHÀ THẦU</t>
  </si>
  <si>
    <t>SL</t>
  </si>
  <si>
    <t>Phim khô 14x17 inch cho máy in CR-SONY</t>
  </si>
  <si>
    <t>125 Tờ/Hộp</t>
  </si>
  <si>
    <t>Sony
Nhật Bản</t>
  </si>
  <si>
    <t>CÔNG TY TNHH ĐẦU TƯ THẾ GIỚI THƯƠNG MẠI THIÊN PHÚC</t>
  </si>
  <si>
    <t>Phim khô 8x10 inch cho máy in CR-SONY</t>
  </si>
  <si>
    <t>Phim khô 10x12 inch cho máy in CR-SONY</t>
  </si>
  <si>
    <t>LÔ HÀNG SỐ 2:  PHIM KHÔ X QUANG DÙNG CHO MÁY IN  DR-FUJI</t>
  </si>
  <si>
    <t>Phim khô 14x 17 inch cho máy in DR - Fuji</t>
  </si>
  <si>
    <t>100Tờ/Hộp</t>
  </si>
  <si>
    <t>FUJIFILM/ Nhật Bản</t>
  </si>
  <si>
    <t>Công ty TNHH Công nghệ CPS</t>
  </si>
  <si>
    <t xml:space="preserve">Phim khô 8 x 10 inch cho máy in DR - Fuji </t>
  </si>
  <si>
    <t>Phim khô 10 x 12 inch cho máy in DR - Fuji</t>
  </si>
  <si>
    <t>LÔ HÀNG SỐ 3 : PHIM KHÔ X QUANG DÙNG CHO MÁY IN  AGFA DRYSTAR 5302</t>
  </si>
  <si>
    <t xml:space="preserve">Phim khô 14*17 inch cho máy in Agfa Drystar 5302 (100 tờ/hộp) </t>
  </si>
  <si>
    <t>AGFA/Bỉ Drystar DT5000iB 14x17 inch</t>
  </si>
  <si>
    <t xml:space="preserve">Công ty TNHH Đầu tư Huy Phương </t>
  </si>
  <si>
    <t xml:space="preserve">Phim khô 8*10 inch cho máy in Agfa Drystar 5302 (100 tờ/hộp) </t>
  </si>
  <si>
    <t>AGFA/Bỉ Drystar DT5000iB 8x10 inch</t>
  </si>
  <si>
    <t xml:space="preserve">Phim khô 10*12 inch cho máy in Agfa Drystar 5302 (100 tờ/hộp) </t>
  </si>
  <si>
    <t>AGFA/Bỉ Drystar DT5000iB 10x12 inch</t>
  </si>
  <si>
    <t>LÔ HÀNG SỐ 4: VTHC MÁY THẬN NHÂN TẠO  DDB27 VÀ MÁY HF ONLINE DBB-07</t>
  </si>
  <si>
    <t>Cathete bẹn 17G (Kim medikit, thân kim dài 38mm)</t>
  </si>
  <si>
    <t>Medikit/Nhật Bản/Medikit 17G</t>
  </si>
  <si>
    <t>CÔNG TY TNHH TM-DV ĐỒNG HỮU</t>
  </si>
  <si>
    <t>Dây truyền máu thận (Sử dụng 06 lần/bộ)</t>
  </si>
  <si>
    <t>24 bộ/thùng</t>
  </si>
  <si>
    <t>Nikkiso/Việt Nam/VKTNT-02P</t>
  </si>
  <si>
    <t xml:space="preserve">Kim chạy thận 16G (Kim y tế, sắc thành mỏng, cách xoay 360) </t>
  </si>
  <si>
    <t>500 cái/thùng</t>
  </si>
  <si>
    <t>Nipro/Thái Lan/AVF 16G</t>
  </si>
  <si>
    <t>Quả lọc thận Medium flux (Diện tích màng 1,5m. 1,7m. 1,9m. Hệ số siêu lọc từ 20-26)</t>
  </si>
  <si>
    <t>24 quả/thùng</t>
  </si>
  <si>
    <t>Nipro/Nhật Bản/FB-150/170/190 E</t>
  </si>
  <si>
    <t>Quả lọc thận High flux (Diện tích màng 1,5m. Hệ số siêu lọc 50)</t>
  </si>
  <si>
    <t>12 quả/thùng</t>
  </si>
  <si>
    <t>Nikkiso/Nhật Bản/FDX-150 GW</t>
  </si>
  <si>
    <t>Màng lọc EF-02</t>
  </si>
  <si>
    <t>01 quă/hộp</t>
  </si>
  <si>
    <t>Nikkiso/Thái Lan/EF-02</t>
  </si>
  <si>
    <t>Bộ ống dây dùng cho máy lọc thận DHF online DDB-07</t>
  </si>
  <si>
    <t>20 bộ/thùng</t>
  </si>
  <si>
    <t>Nikkiso/Việt Nam/VKVD-AV06JA</t>
  </si>
  <si>
    <t>Bộ ống dây dung dịch cho máy lọc thận DHF online DDB-07</t>
  </si>
  <si>
    <t>48 bộ/thùng</t>
  </si>
  <si>
    <t>Nikkiso/Việt Nam/VKVD-C07J</t>
  </si>
  <si>
    <t>Dung dịch Bicarbonate HD3A</t>
  </si>
  <si>
    <t>10 lít/can</t>
  </si>
  <si>
    <t xml:space="preserve">Can </t>
  </si>
  <si>
    <t>Bbraun/Việt Nam/HD3A</t>
  </si>
  <si>
    <t>Dung dịch Bicarbonate HD1B</t>
  </si>
  <si>
    <t>Bbraun/Việt Nam/HD1B</t>
  </si>
  <si>
    <t xml:space="preserve">Dung dịch sát trùng máy Hemoclean </t>
  </si>
  <si>
    <t>Huniz/Hàn Quốc/Hemoclean</t>
  </si>
  <si>
    <t>Dung dịch sát trùng quả lọc Hemoclean RP</t>
  </si>
  <si>
    <t>Huniz/ Hàn Quốc/Hemoclean RP</t>
  </si>
  <si>
    <t>Dịch lọc Bicarbonate Dri-Sate (20 ca/Thùng 25kg)</t>
  </si>
  <si>
    <t xml:space="preserve">25 kg/thùng </t>
  </si>
  <si>
    <t>ca</t>
  </si>
  <si>
    <t>Rockwell/Mỹ/DF-140</t>
  </si>
  <si>
    <t>Dịch lọc Bicarbonate RenalPure (40 ca/ Thùng15,9kg)</t>
  </si>
  <si>
    <t>15,9 kg/thùng</t>
  </si>
  <si>
    <t>Rockwell/Mỹ/FB-25</t>
  </si>
  <si>
    <t>LÔ HÀNG SỐ 05 : VTHCV MÁY ĐÔNG MÁU ACL VÀ MÁY SAPPHIRE 400-600</t>
  </si>
  <si>
    <t xml:space="preserve">Albumin,BCG  </t>
  </si>
  <si>
    <t xml:space="preserve"> 5x100ml</t>
  </si>
  <si>
    <t xml:space="preserve"> hộp </t>
  </si>
  <si>
    <t>Dialab/Áo</t>
  </si>
  <si>
    <t>Công ty TNHH Thiết bị Minh Tâm</t>
  </si>
  <si>
    <t xml:space="preserve">Alpha Amylase Pancr,ETG7PNP  </t>
  </si>
  <si>
    <t xml:space="preserve"> 4x50mlR1,1x50mlR2  </t>
  </si>
  <si>
    <t xml:space="preserve">Alpha Amylase,CNP-G3  </t>
  </si>
  <si>
    <t xml:space="preserve"> 5x50ml</t>
  </si>
  <si>
    <t xml:space="preserve">Ammonia,enzymatic,UV  </t>
  </si>
  <si>
    <t xml:space="preserve"> 5x10ml</t>
  </si>
  <si>
    <t xml:space="preserve">Bilirubin Auto Direct,DCA  </t>
  </si>
  <si>
    <t xml:space="preserve"> 4x100mlR1,1x100mlR2  </t>
  </si>
  <si>
    <t xml:space="preserve">Bilirubin Auto total,DCA  </t>
  </si>
  <si>
    <t xml:space="preserve">Calcium,CPC  </t>
  </si>
  <si>
    <t xml:space="preserve">Cholesterol,CHOD-PAP  </t>
  </si>
  <si>
    <t xml:space="preserve">CK-MB,optDGKC/IFCC  </t>
  </si>
  <si>
    <t xml:space="preserve"> 4x25mlR1,1x25mlR2  </t>
  </si>
  <si>
    <t xml:space="preserve">CK-NAC,optDGKC/IFCC  </t>
  </si>
  <si>
    <t xml:space="preserve">Creatinine,modJaffe  </t>
  </si>
  <si>
    <t xml:space="preserve">Gamma GT,SZASZ,standto IFCC  </t>
  </si>
  <si>
    <t xml:space="preserve">Glucose,GOD-PAP  </t>
  </si>
  <si>
    <t xml:space="preserve"> 5x100ml(500ml)  </t>
  </si>
  <si>
    <t xml:space="preserve">GOT(AST),modIFCC  </t>
  </si>
  <si>
    <t xml:space="preserve">GPT(ALT),modIFCC  </t>
  </si>
  <si>
    <t xml:space="preserve">Lipase,Enzymatic Colorimetric  </t>
  </si>
  <si>
    <t xml:space="preserve">Protein total in Urine/CSF  </t>
  </si>
  <si>
    <t xml:space="preserve"> 5x25ml</t>
  </si>
  <si>
    <t xml:space="preserve">Protein total,Biuret  </t>
  </si>
  <si>
    <t xml:space="preserve">Triglycerides,GPO-PAP  </t>
  </si>
  <si>
    <t xml:space="preserve">Urea UV Auto,Urease/GLDH  </t>
  </si>
  <si>
    <t xml:space="preserve">Urea,Urease/Colorimetric  </t>
  </si>
  <si>
    <t xml:space="preserve"> 2x125mlR1,3x83.3mlR2,25mlR3  </t>
  </si>
  <si>
    <t xml:space="preserve">Uric Acid TBHBA,EnzymColor  </t>
  </si>
  <si>
    <t xml:space="preserve">Ammonia Standard, 100 μM  </t>
  </si>
  <si>
    <t xml:space="preserve"> 1x4ml  </t>
  </si>
  <si>
    <t xml:space="preserve"> lọ </t>
  </si>
  <si>
    <t xml:space="preserve">Albumin Standard  </t>
  </si>
  <si>
    <t xml:space="preserve"> 1x3ml  </t>
  </si>
  <si>
    <t xml:space="preserve">Calcium Standard  </t>
  </si>
  <si>
    <t xml:space="preserve">Cholesterol Standard  </t>
  </si>
  <si>
    <t xml:space="preserve">Creatinine Standard  </t>
  </si>
  <si>
    <t xml:space="preserve">Glucose Standard  </t>
  </si>
  <si>
    <t xml:space="preserve">Iron Standard  </t>
  </si>
  <si>
    <t xml:space="preserve">Protein Totin Urine/CSF Std  </t>
  </si>
  <si>
    <t xml:space="preserve">Protein Total Standard  </t>
  </si>
  <si>
    <t xml:space="preserve">Triglycerides Standard  </t>
  </si>
  <si>
    <t xml:space="preserve">Urea Standard  </t>
  </si>
  <si>
    <t xml:space="preserve">Uric Acid Standard  </t>
  </si>
  <si>
    <t xml:space="preserve">Diacal Auto (AssCalSer)  </t>
  </si>
  <si>
    <t xml:space="preserve">HDL-Cholesterol Calibrators  </t>
  </si>
  <si>
    <t xml:space="preserve">LDL-Cholesterol Calibrators  </t>
  </si>
  <si>
    <t xml:space="preserve"> 1x1ml  </t>
  </si>
  <si>
    <t xml:space="preserve">Ammonia Ctrl-Set (2 levels)  </t>
  </si>
  <si>
    <t xml:space="preserve"> 2x5ml(10ml)  </t>
  </si>
  <si>
    <t>Diacon N</t>
  </si>
  <si>
    <t xml:space="preserve"> 1x5ml  </t>
  </si>
  <si>
    <t>Diacon P</t>
  </si>
  <si>
    <t xml:space="preserve">Alcohol </t>
  </si>
  <si>
    <t>10x10ml + 1x5ml</t>
  </si>
  <si>
    <t>Biolabo/Pháp</t>
  </si>
  <si>
    <t xml:space="preserve">HCG direct </t>
  </si>
  <si>
    <t>100 test</t>
  </si>
  <si>
    <t>Dialab/ Áo</t>
  </si>
  <si>
    <t xml:space="preserve">HCG test </t>
  </si>
  <si>
    <t>Bio-tech/ Mỹ</t>
  </si>
  <si>
    <t xml:space="preserve">Sample cup 3ml </t>
  </si>
  <si>
    <t>1000 cái</t>
  </si>
  <si>
    <t>túi</t>
  </si>
  <si>
    <t>Globe/Mỹ</t>
  </si>
  <si>
    <t>Tem bacode</t>
  </si>
  <si>
    <t>40.000 con</t>
  </si>
  <si>
    <t xml:space="preserve"> cuộn </t>
  </si>
  <si>
    <t>Halogen 6V10W (Đèn Halogen máy BTS310)</t>
  </si>
  <si>
    <t>Biosystems/
Tây Ban Nha</t>
  </si>
  <si>
    <t xml:space="preserve">Peristaltic tubing (Dây bơm máy BTS 310) </t>
  </si>
  <si>
    <t xml:space="preserve">Cleaning Solution </t>
  </si>
  <si>
    <t>1 x 500 mL</t>
  </si>
  <si>
    <t>IL/Mỹ</t>
  </si>
  <si>
    <t>Reference Emulsion</t>
  </si>
  <si>
    <t>4 x 500 mL</t>
  </si>
  <si>
    <t>PT-Fibrinogen hs plus</t>
  </si>
  <si>
    <t>5x8,5ml+5x8,5ml</t>
  </si>
  <si>
    <t>APTT-SP (Liquid)</t>
  </si>
  <si>
    <t>5x9 mL+5x8 mL</t>
  </si>
  <si>
    <t>Thrombin Time</t>
  </si>
  <si>
    <t>4x2 mL+1 x9 mL</t>
  </si>
  <si>
    <t>Calibration plasma</t>
  </si>
  <si>
    <t>10 x 1 mL</t>
  </si>
  <si>
    <t>Normal Control assayed</t>
  </si>
  <si>
    <t>Factor diluent</t>
  </si>
  <si>
    <t>1 x 100 mL</t>
  </si>
  <si>
    <t>Rotors</t>
  </si>
  <si>
    <t>100 rotor x 20 cóng</t>
  </si>
  <si>
    <t>IL/
Tây Ban Nha</t>
  </si>
  <si>
    <t>Sample cup 0.5ml</t>
  </si>
  <si>
    <t xml:space="preserve">Giấy in nhiệt </t>
  </si>
  <si>
    <t>10 cuộn/ hộp</t>
  </si>
  <si>
    <t>Flow-Set Fluorosphere</t>
  </si>
  <si>
    <t>3x10ml</t>
  </si>
  <si>
    <t>hộp</t>
  </si>
  <si>
    <t>Beckman Coulter/ Mỹ, Pháp</t>
  </si>
  <si>
    <t>Flow-Check Fluorosphere</t>
  </si>
  <si>
    <t>QuickCOMP 4 Kit</t>
  </si>
  <si>
    <t>50 test</t>
  </si>
  <si>
    <t>Optilyse No-Wash Lysing Solution</t>
  </si>
  <si>
    <t>200 test</t>
  </si>
  <si>
    <t>IsoFlow Sheat Fluid</t>
  </si>
  <si>
    <t>1x10L</t>
  </si>
  <si>
    <t>Coulter Clenz</t>
  </si>
  <si>
    <t>Whole Blood Lysing Reagents</t>
  </si>
  <si>
    <t>300 test</t>
  </si>
  <si>
    <t>HLA-B27-FITC/HLA-B7-PE</t>
  </si>
  <si>
    <t>50 test 1 ml, 20 ul/test</t>
  </si>
  <si>
    <t>CD55-PE</t>
  </si>
  <si>
    <t>100 test - 2ml, 20 ul/test</t>
  </si>
  <si>
    <t>CD59-FITC</t>
  </si>
  <si>
    <t>CD79a-PE</t>
  </si>
  <si>
    <t>100tests- 2 mL,20 µL / test</t>
  </si>
  <si>
    <t>CD3-PE</t>
  </si>
  <si>
    <t>CYTO-START TETRACHROME CD45-FITC/CD56-DRI/CD19-ECD/CD3PC5</t>
  </si>
  <si>
    <t>50 tests; 0.5 mL,10 µL / test</t>
  </si>
  <si>
    <t>CD13-FITC</t>
  </si>
  <si>
    <t>CD4 - PE</t>
  </si>
  <si>
    <t>100 test, 0.5ml,  5ul/test</t>
  </si>
  <si>
    <t>CD19-PE</t>
  </si>
  <si>
    <t>100 test -2 ml, 20ul/test</t>
  </si>
  <si>
    <t>CD34-PE</t>
  </si>
  <si>
    <t>CD33-PE</t>
  </si>
  <si>
    <t>CD45-ECD</t>
  </si>
  <si>
    <t>CD117-PE</t>
  </si>
  <si>
    <t>CD38-FITC</t>
  </si>
  <si>
    <t>CD8-FITC</t>
  </si>
  <si>
    <t>CD7-FITC</t>
  </si>
  <si>
    <t>MPO-FITC</t>
  </si>
  <si>
    <t>CD20-PE</t>
  </si>
  <si>
    <t>CD10-FITC</t>
  </si>
  <si>
    <t>CD64-FITC</t>
  </si>
  <si>
    <t>HLA-DR-FITC</t>
  </si>
  <si>
    <t>COULTER LH Series Diluent</t>
  </si>
  <si>
    <t>20L</t>
  </si>
  <si>
    <t>Beckman Coulter/ 
Trung Quốc</t>
  </si>
  <si>
    <t xml:space="preserve">COULTER LYSE S III diff Lytic Reagent </t>
  </si>
  <si>
    <t>1L</t>
  </si>
  <si>
    <t>Beckman Coulter/Mỹ</t>
  </si>
  <si>
    <t>COULTER LH Series Pak Reagent Kit</t>
  </si>
  <si>
    <t>1 x 500ml + 1 x 1900ml</t>
  </si>
  <si>
    <t xml:space="preserve">COULTER LH Series Cleaner </t>
  </si>
  <si>
    <t>5l</t>
  </si>
  <si>
    <t>Beckman Coulter/ Trung Quốc</t>
  </si>
  <si>
    <t>COULTER LH Series RETIC PAK Reagent Kit</t>
  </si>
  <si>
    <t>1 x 380ml + 1 x 1900ml</t>
  </si>
  <si>
    <t xml:space="preserve">COULTER Latron Control </t>
  </si>
  <si>
    <t>5 x 16ml</t>
  </si>
  <si>
    <t>COULTER Latron Primer</t>
  </si>
  <si>
    <t>COULTER 5C Cell Control</t>
  </si>
  <si>
    <t>1x3.3ml Normal  1x3.3ml Abnormal I   1x3.3ml Abnormal II</t>
  </si>
  <si>
    <t>Bo</t>
  </si>
  <si>
    <t xml:space="preserve">COULTER Retic-C Cell Control </t>
  </si>
  <si>
    <t xml:space="preserve">1x3.3ml Level I  1x3.3ml  Level II   1x3.3ml Level III </t>
  </si>
  <si>
    <t>COULTER S-CAL Calibrator Kit</t>
  </si>
  <si>
    <t>2 x 4.2 ml</t>
  </si>
  <si>
    <t>Coulter DxH Diluent</t>
  </si>
  <si>
    <t>10 L</t>
  </si>
  <si>
    <t>Coulter DxH Cell Lyse</t>
  </si>
  <si>
    <t>5 L</t>
  </si>
  <si>
    <t>Coulter DxH Diff Pak</t>
  </si>
  <si>
    <t>1900ml+850ml</t>
  </si>
  <si>
    <t>Coulter DxH Cleaner</t>
  </si>
  <si>
    <t xml:space="preserve">10 L </t>
  </si>
  <si>
    <t>Coulter DxH Retic Pack</t>
  </si>
  <si>
    <t>1900ml+380ml</t>
  </si>
  <si>
    <t>Coulter 6C Cell Control</t>
  </si>
  <si>
    <t xml:space="preserve">1x3.5ml Level I  1x3.5ml  Level II   1x3.5ml Level III </t>
  </si>
  <si>
    <t>Coulter Latron CP-X Control</t>
  </si>
  <si>
    <t>8 x 4 ml</t>
  </si>
  <si>
    <t>Coulter S-Cal Calibrator Kit</t>
  </si>
  <si>
    <t>1 x 3.3 ml</t>
  </si>
  <si>
    <t>LÔ HÀNG SỐ 6: VTHC MÁY AU640</t>
  </si>
  <si>
    <t>α-Amylase</t>
  </si>
  <si>
    <t>4x40ml</t>
  </si>
  <si>
    <t>Beckman Coulter/ Ailen</t>
  </si>
  <si>
    <t>β-2 Microglobulin</t>
  </si>
  <si>
    <t>4x10ml +4x8ml</t>
  </si>
  <si>
    <t>Beckman Coulter/ 
Tây Ban Nha</t>
  </si>
  <si>
    <t>Albumin</t>
  </si>
  <si>
    <t>4x54ml</t>
  </si>
  <si>
    <t>ALP</t>
  </si>
  <si>
    <t>4x30ml +4x30ml</t>
  </si>
  <si>
    <t>ALT</t>
  </si>
  <si>
    <t>4x50ml +4x25ml</t>
  </si>
  <si>
    <t>APO A1</t>
  </si>
  <si>
    <t>4x13ml +4x13ml</t>
  </si>
  <si>
    <t>APO A1 &amp; B Calibrators 3*2ml</t>
  </si>
  <si>
    <t>3x2x1ml</t>
  </si>
  <si>
    <t>Apo A1 &amp; B Calibrators 5*2ml</t>
  </si>
  <si>
    <t>5x1x2ml</t>
  </si>
  <si>
    <t>Apo B</t>
  </si>
  <si>
    <t>4x13ml +4x7ml</t>
  </si>
  <si>
    <t>4x51ml + 4x7ml</t>
  </si>
  <si>
    <t>Beckman Coulter/ Tây Ban Nha</t>
  </si>
  <si>
    <t>AST</t>
  </si>
  <si>
    <t>4x25ml +4x25ml</t>
  </si>
  <si>
    <t>Bicarbonate</t>
  </si>
  <si>
    <t>4x25ml</t>
  </si>
  <si>
    <t>Bicarbonate Calibrators</t>
  </si>
  <si>
    <t>3x25ml + 3x25ml</t>
  </si>
  <si>
    <t>Beckman Coulter/ Mỹ</t>
  </si>
  <si>
    <t>Calcium  Arsenazo</t>
  </si>
  <si>
    <t>4x29ml</t>
  </si>
  <si>
    <t>Cholesterol</t>
  </si>
  <si>
    <t>4x45ml</t>
  </si>
  <si>
    <t>Cholinesterase</t>
  </si>
  <si>
    <t>4x30ml +4x6ml</t>
  </si>
  <si>
    <t>Beckman Coulter/ Ý</t>
  </si>
  <si>
    <t>CK (NAC)</t>
  </si>
  <si>
    <t>4x44ml+4x8ml+4x13ml</t>
  </si>
  <si>
    <t>CK-MB</t>
  </si>
  <si>
    <t>2x22ml+2x4ml+2x6ml</t>
  </si>
  <si>
    <t>CK-MB Calibrators</t>
  </si>
  <si>
    <t>1x1ml</t>
  </si>
  <si>
    <t>CK-MB control serum level 1</t>
  </si>
  <si>
    <t>1x2ml</t>
  </si>
  <si>
    <t>CK-MB control serum level 2</t>
  </si>
  <si>
    <t>Control Serum 1</t>
  </si>
  <si>
    <t>1x5ml</t>
  </si>
  <si>
    <t>Control Serum 2</t>
  </si>
  <si>
    <t>Creatinine</t>
  </si>
  <si>
    <t>4x51ml +4x51ml</t>
  </si>
  <si>
    <t>Creatinine (enzymatic)</t>
  </si>
  <si>
    <t>4x45+4x15ml</t>
  </si>
  <si>
    <t>Beckman Coulter/ 
Nhật Bản</t>
  </si>
  <si>
    <t>CRP Latex</t>
  </si>
  <si>
    <t>4x30ml + 4x30ml</t>
  </si>
  <si>
    <t>CRP Latex Calibrators (N) Set</t>
  </si>
  <si>
    <t>5x2ml</t>
  </si>
  <si>
    <t>CRP Latex Calibrators Highly Sensitive (HS) set</t>
  </si>
  <si>
    <t>Direct bilirubin</t>
  </si>
  <si>
    <t>4x20ml +4x20ml</t>
  </si>
  <si>
    <t>Ferritin</t>
  </si>
  <si>
    <t>4x24+4x12ml</t>
  </si>
  <si>
    <t>GGT</t>
  </si>
  <si>
    <t>4x40ml +4x40ml</t>
  </si>
  <si>
    <t>Glucose</t>
  </si>
  <si>
    <t>4x53ml +4x27ml</t>
  </si>
  <si>
    <t>HbA1c</t>
  </si>
  <si>
    <t>2x37.5ml + 2x7.5ml + 2x34.5ml+5x2.0ml</t>
  </si>
  <si>
    <t>Beckman Coulter/ Đức</t>
  </si>
  <si>
    <t>HbA1c Calibrators</t>
  </si>
  <si>
    <t>1x8ml +5x2ml</t>
  </si>
  <si>
    <t>HbA1c Control</t>
  </si>
  <si>
    <t>2 lojx.0mlx2level</t>
  </si>
  <si>
    <t>Canterbury/ 
New Zealand</t>
  </si>
  <si>
    <t>HDL/LDL-cholesterol control serum</t>
  </si>
  <si>
    <t>3x5ml + 3x5ml</t>
  </si>
  <si>
    <t>Beckman Coulter/ Nauy</t>
  </si>
  <si>
    <t>HDL-Cholesterol</t>
  </si>
  <si>
    <t>4x51.3ml +4x17.1ml</t>
  </si>
  <si>
    <t>HDL-Cholesterol Calibrators</t>
  </si>
  <si>
    <t>2x3ml</t>
  </si>
  <si>
    <t>Synchron/AU Hemolyzing Reagent</t>
  </si>
  <si>
    <t>1000ml</t>
  </si>
  <si>
    <t>Beckman Coulter/ 
Mỹ, Đức</t>
  </si>
  <si>
    <t>IgA</t>
  </si>
  <si>
    <t>4x14ml+4x11ml</t>
  </si>
  <si>
    <t>IgG</t>
  </si>
  <si>
    <t>4x22ml+4x20ml</t>
  </si>
  <si>
    <t>IgM</t>
  </si>
  <si>
    <t>Inorganic phosphorous</t>
  </si>
  <si>
    <t>4x15ml +4x15ml</t>
  </si>
  <si>
    <t>Iron</t>
  </si>
  <si>
    <t>ITA Control serum level 1</t>
  </si>
  <si>
    <t>ITA Control serum level 2</t>
  </si>
  <si>
    <t>ITA Control serum level 3</t>
  </si>
  <si>
    <t>Lactate</t>
  </si>
  <si>
    <t>4x10mlR1+4xR1lYO</t>
  </si>
  <si>
    <t>LDH</t>
  </si>
  <si>
    <t>4x40ml+4x20ml</t>
  </si>
  <si>
    <t>LDL-Cholesterol</t>
  </si>
  <si>
    <t>LDL-Cholesterol Calibrators</t>
  </si>
  <si>
    <t>2x1ml</t>
  </si>
  <si>
    <t>Lipase</t>
  </si>
  <si>
    <t>4x10ml +4x3.3ml</t>
  </si>
  <si>
    <t>Magnesium</t>
  </si>
  <si>
    <t>Microalbumin</t>
  </si>
  <si>
    <t>4x15ml +4x5ml</t>
  </si>
  <si>
    <t>Microalbumin Calibrators</t>
  </si>
  <si>
    <t>Prealbumin</t>
  </si>
  <si>
    <t>4x15ml +4x6.5ml</t>
  </si>
  <si>
    <t>Prealbumin Calibrators</t>
  </si>
  <si>
    <t>Beckman Coulter/ 
Đan Mạch</t>
  </si>
  <si>
    <t>Serum Protein Multi-Calibrators 1</t>
  </si>
  <si>
    <t>6x1x2ml</t>
  </si>
  <si>
    <t>Serum Protein Multi-Calibrators 2</t>
  </si>
  <si>
    <t>System Calibrators</t>
  </si>
  <si>
    <t>Total bilirubin</t>
  </si>
  <si>
    <t>Total protein</t>
  </si>
  <si>
    <t>4x48ml +4x48ml</t>
  </si>
  <si>
    <t>Transferrin</t>
  </si>
  <si>
    <t>4x7ml +4x8ml</t>
  </si>
  <si>
    <t>Triglyceride</t>
  </si>
  <si>
    <t>4x50ml+4x12.5ml</t>
  </si>
  <si>
    <t>UIBC</t>
  </si>
  <si>
    <t>4x27ml +4x3ml +4x6ml + 4x2ml</t>
  </si>
  <si>
    <t>Urea</t>
  </si>
  <si>
    <t>4x53ml +4x53ml</t>
  </si>
  <si>
    <t>Uric acid</t>
  </si>
  <si>
    <t>4x42.3ml+4x17.7ml</t>
  </si>
  <si>
    <t>Urinary/CSF protein</t>
  </si>
  <si>
    <t>4x19ml+1x3ml</t>
  </si>
  <si>
    <t>Urine Calibrators</t>
  </si>
  <si>
    <t>6x8ml</t>
  </si>
  <si>
    <t>Wash Solution</t>
  </si>
  <si>
    <t>1x5l</t>
  </si>
  <si>
    <t xml:space="preserve"> can </t>
  </si>
  <si>
    <t>ISE Buffer</t>
  </si>
  <si>
    <t>4x2000ml</t>
  </si>
  <si>
    <t>ISE Low Serum Standard</t>
  </si>
  <si>
    <t>4x100ml</t>
  </si>
  <si>
    <t>ISE High Serum Standard</t>
  </si>
  <si>
    <t>ISE Low/High Urine Standard</t>
  </si>
  <si>
    <t>ISE Mid Standard</t>
  </si>
  <si>
    <t>ISE Na+/K+ Selectivity Check</t>
  </si>
  <si>
    <t>2x25ml</t>
  </si>
  <si>
    <t>ISE Reference</t>
  </si>
  <si>
    <t>4x1000ml</t>
  </si>
  <si>
    <t>Cleaning Solution</t>
  </si>
  <si>
    <t>500ml</t>
  </si>
  <si>
    <t>Na electrode (Điện cực Na)</t>
  </si>
  <si>
    <t>K electrode (Điện cực K)</t>
  </si>
  <si>
    <t>Cl electrode (Điện cực Cl)</t>
  </si>
  <si>
    <t>Ref electrode (Điện cực Ref)</t>
  </si>
  <si>
    <t>Roller Tubing (Ống dây bơm)</t>
  </si>
  <si>
    <t>2 cái/túi</t>
  </si>
  <si>
    <t>Photometer Lamp (Đèn Halogen)</t>
  </si>
  <si>
    <t>S Syringe (Xylanh hút bệnh phẩm)</t>
  </si>
  <si>
    <t>R Syringe (Xylanh hút hóa chất)</t>
  </si>
  <si>
    <t>Diaphragm (Màng bơm chân không)</t>
  </si>
  <si>
    <t>S Probe (Kim hút bệnh phẩm)</t>
  </si>
  <si>
    <t>R Probe (Kim hút hóa chất)</t>
  </si>
  <si>
    <t>1xA30ml+1xB15ml</t>
  </si>
  <si>
    <t>Biosystems/ Tây Ban Nha</t>
  </si>
  <si>
    <t>Ferritin standard</t>
  </si>
  <si>
    <t>    1 x 3 ml  </t>
  </si>
  <si>
    <t>Hộp thanh thử nước tiểu (Labstrip U11 Plus Urine test strip)</t>
  </si>
  <si>
    <t>150 thanh</t>
  </si>
  <si>
    <t>77 Elektronika/ Hungary</t>
  </si>
  <si>
    <t>Premier 1000 Reagent Test Kit (2xPremier Affinity A1c 500) bao gồm:
 Premier Hb9210 Buffer A Reagent (940ml)x6
 - Premier Hb9210 Buffer B Reagent (940ml)x8
 - Premier Hb9210 Diluent Reagent
(3.8 L)x4
 - Premier Hb9210 Cleaning Reagent (Wash) (940ml)x6
 - Frit, 2 Micron x 1
 - Frit, 75 Micron x 1
 - Premier 9210  Column</t>
  </si>
  <si>
    <t>Trinity Biotech/ Ai Len, Mỹ</t>
  </si>
  <si>
    <t>Glycated Hemoglobin Control Kit</t>
  </si>
  <si>
    <t>2x 500 µl</t>
  </si>
  <si>
    <t>Glycated Hemoglobin Calibrator Kit</t>
  </si>
  <si>
    <t xml:space="preserve">Homocysteine, EnzymRecycling  </t>
  </si>
  <si>
    <t>4 x 20ml (78ml )</t>
  </si>
  <si>
    <t xml:space="preserve">Homocysteine Cal Set (5 lev)  </t>
  </si>
  <si>
    <t>5 x 1ml</t>
  </si>
  <si>
    <t xml:space="preserve">Homocysteine CtrlSet (4 lev)    </t>
  </si>
  <si>
    <t>4 x 1ml</t>
  </si>
  <si>
    <t>G6-PDH</t>
  </si>
  <si>
    <t>R1:1x100ml, R2:1x2ml, R3:1x2ml, R4:1x20ml</t>
  </si>
  <si>
    <t>Randox/Anh</t>
  </si>
  <si>
    <t>G6PDH control Deficient</t>
  </si>
  <si>
    <t>6x0.5ml</t>
  </si>
  <si>
    <t>G6PDH control normal</t>
  </si>
  <si>
    <t>Syphilis RPR</t>
  </si>
  <si>
    <t>150 Tests(3ml) Kit</t>
  </si>
  <si>
    <t>500 Tests(2x5ml) Kit</t>
  </si>
  <si>
    <t>Fructosamine</t>
  </si>
  <si>
    <t>2 x 50ml</t>
  </si>
  <si>
    <t>Biosystems/ 
Tây Ban Nha</t>
  </si>
  <si>
    <t xml:space="preserve">Fructosamine Control </t>
  </si>
  <si>
    <t>1x1 ml</t>
  </si>
  <si>
    <t>Cystatin C (turb.)</t>
  </si>
  <si>
    <t>1x25ml Buffer,1x5ml Latex</t>
  </si>
  <si>
    <t>2x25ml Buffer, 1x10ml Latex</t>
  </si>
  <si>
    <t>Cystatin C Cal. (5 levels)</t>
  </si>
  <si>
    <t>Cystatin C Calibrator High</t>
  </si>
  <si>
    <t>Cystatin C Control Set</t>
  </si>
  <si>
    <t>6x2ml (2 levels)</t>
  </si>
  <si>
    <t xml:space="preserve">LÔ HÀNG SỐ 07 : VTHC MÁY MIỄN DỊCH IMMULITE </t>
  </si>
  <si>
    <t>IMMULITE T3 KIT</t>
  </si>
  <si>
    <t>Siemens/Mỹ, Anh</t>
  </si>
  <si>
    <t>Công ty TNHH Thiết bị y tế Phương Đông</t>
  </si>
  <si>
    <t>IMMULITE FREE T4 KIT</t>
  </si>
  <si>
    <t>IMMULITE RAPID TSH KIT</t>
  </si>
  <si>
    <t>IMMULITE PROBE CLEANING</t>
  </si>
  <si>
    <t>100 ml</t>
  </si>
  <si>
    <t>IMMULITE PROBE WASH MODULE</t>
  </si>
  <si>
    <t>2 x 100 ml</t>
  </si>
  <si>
    <t>IMMULITE SUBSTRATE MODULE  1000T</t>
  </si>
  <si>
    <t>2 x 105 ml</t>
  </si>
  <si>
    <t>Maternal Screening Control Level 1</t>
  </si>
  <si>
    <t>3 x 1 ml</t>
  </si>
  <si>
    <t>Maternal Screening Control Level 2</t>
  </si>
  <si>
    <t>Maternal Screening Control Level 3</t>
  </si>
  <si>
    <t>Tumour Marker Control Level 2</t>
  </si>
  <si>
    <t>3 x 2 ml</t>
  </si>
  <si>
    <t>Tumour Marker Control Level 3</t>
  </si>
  <si>
    <t>IMMULITE 2000 TOTAL IGE KIT</t>
  </si>
  <si>
    <t>IMMULITE 2000 C-PEPTIDE KIT</t>
  </si>
  <si>
    <t>IMMULITE 2000 INSULIN KIT</t>
  </si>
  <si>
    <t>IMMULITE 2000 ESTRADIOL KIT</t>
  </si>
  <si>
    <t>IMMULITE 2000 FREE BETA HCG KIT</t>
  </si>
  <si>
    <t>IMMULITE 2000 FSH KIT</t>
  </si>
  <si>
    <t>IMMULITE 2000 HCG KIT</t>
  </si>
  <si>
    <t>IMMULITE 2000 HCG SAMPLE DILUENT</t>
  </si>
  <si>
    <t>50 ml</t>
  </si>
  <si>
    <t>IMMULITE 2000 LH KIT</t>
  </si>
  <si>
    <t>200 / kit</t>
  </si>
  <si>
    <t>IMMULITE 2000 PROGESTERONE KIT</t>
  </si>
  <si>
    <t>IMMULITE 2000 PROLACTIN KIT</t>
  </si>
  <si>
    <t>IMMULITE 2000 TOTALTESTOSTERONE KIT</t>
  </si>
  <si>
    <t>IMMULITE 2000 UNCONJUGATED ESTRIOL</t>
  </si>
  <si>
    <t>IMMULITE 2000 NT-PROBNP KIT</t>
  </si>
  <si>
    <t>IMMULITE 2000 TROPONIN I KIT</t>
  </si>
  <si>
    <t>IMMULITE 2000 ANTI-TG KIT</t>
  </si>
  <si>
    <t>IMMULITE 2000 ANTI-TPO KIT</t>
  </si>
  <si>
    <t>IMMULITE 2000 TOTAL T3 KIT</t>
  </si>
  <si>
    <t>IMMULITE 2000 FREE T4 KIT</t>
  </si>
  <si>
    <t>IMMULITE 2000 RAPID TSH KIT</t>
  </si>
  <si>
    <t>IMMULITE 2000 THYROGLOBULIN</t>
  </si>
  <si>
    <t>IMMULITE 2000 AFP KIT</t>
  </si>
  <si>
    <t>IMMULITE 2000 BR-MA CA 15-3 KIT</t>
  </si>
  <si>
    <t>IMMULITE 2000 CEA KIT</t>
  </si>
  <si>
    <t>IMMULITE 2000 FREE PSA</t>
  </si>
  <si>
    <t>IMMULITE 2000 GI-MA CA 19-9 KIT</t>
  </si>
  <si>
    <t>IMMULITE 2000 OM-MA CA 12-5 KIT</t>
  </si>
  <si>
    <t>IMMULITE 2000 PAPP-A KIT</t>
  </si>
  <si>
    <t>IMMULITE 2000 PSA KIT</t>
  </si>
  <si>
    <t>IMMULITE 2000 PROBE CLEANING KIT</t>
  </si>
  <si>
    <t>1 x 100 ml</t>
  </si>
  <si>
    <t>IMMULITE 2000 PROBE WASH MODULE</t>
  </si>
  <si>
    <t>2 x 200 ml</t>
  </si>
  <si>
    <t>IMMULITE 2000 SUBSTRATE MODULE  2000T</t>
  </si>
  <si>
    <t>2 x 205 ml</t>
  </si>
  <si>
    <t>MICROSAMPLING TUBES</t>
  </si>
  <si>
    <t>1000 chiÕc</t>
  </si>
  <si>
    <t>REACTION TUBES</t>
  </si>
  <si>
    <t>IMMULITE 2000 CALCITONIN</t>
  </si>
  <si>
    <t>IMMULITE 2000 TSI</t>
  </si>
  <si>
    <t>Immunoassay Premium Plus Control Tri-level</t>
  </si>
  <si>
    <t>4x3x5ml</t>
  </si>
  <si>
    <t>Tri-Level Cardiac Control</t>
  </si>
  <si>
    <t>3x2 mL</t>
  </si>
  <si>
    <t>Liquid Cardiac Control Level 1</t>
  </si>
  <si>
    <t>3x3 ml</t>
  </si>
  <si>
    <t>Liquid Cardiac Control Level 2</t>
  </si>
  <si>
    <t>Liquid Cardiac Control Level 3</t>
  </si>
  <si>
    <t>Immunoassay Speciality I level 1</t>
  </si>
  <si>
    <t>Immunoassay Speciality I level 2</t>
  </si>
  <si>
    <t>Immunoassay Speciality I level 3</t>
  </si>
  <si>
    <t>LÔ HÀNG SỐ 08: VTHC MÁY CELLTAC + MÁY THU GOM CÁC THÀNH PHẦN MÁU</t>
  </si>
  <si>
    <t>Isotonac 3</t>
  </si>
  <si>
    <t>18L/ can</t>
  </si>
  <si>
    <t>Can</t>
  </si>
  <si>
    <t>Nihon Kohden/ Nhật</t>
  </si>
  <si>
    <t>Cleanac 3</t>
  </si>
  <si>
    <t>5L/ can</t>
  </si>
  <si>
    <t>Cleanac</t>
  </si>
  <si>
    <t>Hemolynac 3N</t>
  </si>
  <si>
    <t>0,5L/ can</t>
  </si>
  <si>
    <t>Hemolynac 5</t>
  </si>
  <si>
    <t>Máu chuẩn 5N</t>
  </si>
  <si>
    <t>2ml/ lä</t>
  </si>
  <si>
    <t>Dây bơm</t>
  </si>
  <si>
    <t>1 chiÕc/ tói</t>
  </si>
  <si>
    <t>ống</t>
  </si>
  <si>
    <t>Filter lọc</t>
  </si>
  <si>
    <t>Ống nghiệm chân không lấy máu tự động EDTA K2</t>
  </si>
  <si>
    <t>100 èng/ hép</t>
  </si>
  <si>
    <t>BD/Mỹ</t>
  </si>
  <si>
    <t>Ống nghiệm chân không lấy máu tự động, Lithium Heparin</t>
  </si>
  <si>
    <t>Ống nghiệm chân không lấy máu tự động, Sodium Citrate 3,2%</t>
  </si>
  <si>
    <t>101 èng/ hép</t>
  </si>
  <si>
    <t>Ống nghiệm chân không lấy máu tự động, xét nghiệm Glucose(NAF)</t>
  </si>
  <si>
    <t>Cartridge EG7</t>
  </si>
  <si>
    <t>25 c¸i/hép</t>
  </si>
  <si>
    <t>CAI</t>
  </si>
  <si>
    <t>Abbott/Canada</t>
  </si>
  <si>
    <t>Kít thu nhận tiểu cầu dùng cho máy Cobe Spectra, kèm theo túi chống đông ACDA 750ml/túi</t>
  </si>
  <si>
    <t>6 bé/ thïng</t>
  </si>
  <si>
    <t>TerumoBCT/ Mỹ</t>
  </si>
  <si>
    <t>Kít thu nhận bạch cầu dùng cho máy Cobe Spectra, kèm theo túi chống đông ACDA 750ml/túi</t>
  </si>
  <si>
    <t>Kít trao đổi huyết tương dùng cho máy Cobe Spectra, kèm theo túi chống đông ACDA 750ml/túi</t>
  </si>
  <si>
    <t>Kít thu nhận tiểu cầu dùng cho máy Trima, túi đôi, kèm theo túi chống đông ACDA 750ml/túi</t>
  </si>
  <si>
    <t>Kít thu nhận tiểu cầu dùng cho máy Trima, túi đơn, kèm theo túi chống đông ACDA 750ml/túi</t>
  </si>
  <si>
    <t>Túi máu đôi 250ml</t>
  </si>
  <si>
    <t>80 túi/thùng</t>
  </si>
  <si>
    <t>JMS/ Singapore</t>
  </si>
  <si>
    <t>Túi máu ba 250ml</t>
  </si>
  <si>
    <t>60 túi/thùng</t>
  </si>
  <si>
    <t>Túi máu ba 350ml</t>
  </si>
  <si>
    <t>Túi máu tư 350ml</t>
  </si>
  <si>
    <t>48 túi/thùng</t>
  </si>
  <si>
    <t>LÔ HÀNG SỐ 09 : VTHC MÁY ĐIỆN GIẢI ĐỒ 9180 VÀ NƯỚC TIỂU SIEMENS</t>
  </si>
  <si>
    <t>Que thử nước tiểu Multistix 10 SG/ Siemens</t>
  </si>
  <si>
    <t>100 test/hộp</t>
  </si>
  <si>
    <t>Siemens/Balan</t>
  </si>
  <si>
    <t>Công ty TNHH Thiết bị y tế Thành Công</t>
  </si>
  <si>
    <t>Hóa chất nước tiểu Clinitek Novus Pro 12</t>
  </si>
  <si>
    <t>450 test/hộp</t>
  </si>
  <si>
    <t>Siemens/Mỹ</t>
  </si>
  <si>
    <t>Hóa chất chuẩn (Clinitek Atlas Cal Kit)</t>
  </si>
  <si>
    <t>230 ml x 4</t>
  </si>
  <si>
    <t>Dung dịch rửa (Clinitek Atlas Rinse Additive)</t>
  </si>
  <si>
    <t>4 x 26 ml</t>
  </si>
  <si>
    <t>Test chuẩn dương tính (Clinitek Atlas Positive CTRL)</t>
  </si>
  <si>
    <t>25 test/hộp</t>
  </si>
  <si>
    <t>Test chuẩn âm tính (Clinitek Atlas Negative CTRL)</t>
  </si>
  <si>
    <t>25 teest/hộp</t>
  </si>
  <si>
    <t>Ống nghiệm</t>
  </si>
  <si>
    <t>Việt nam</t>
  </si>
  <si>
    <t>LÔ HÀNG SỐ 10: VTHC MÁY ĐỊNH NHÓM MÁU GELCARD METRIX SYSTEM</t>
  </si>
  <si>
    <t>Matrix ABO/Rh(D) Forward Grouping Confirmation Card  (Định nhóm máu bằng phương pháp trực tiếp)</t>
  </si>
  <si>
    <t>2 test/card 
(hộp 24 card)</t>
  </si>
  <si>
    <t>Test</t>
  </si>
  <si>
    <t>Card coombs Matrix AHG coombs card</t>
  </si>
  <si>
    <t>6 test/card
 (hộp 24 card)</t>
  </si>
  <si>
    <t>Matrix ABO/Rho(D) Forward and Reverse Grouping card</t>
  </si>
  <si>
    <t>1 test/card 
(hộp 24 card)</t>
  </si>
  <si>
    <t>Card phát máu:  Matrix Forward Grouping &amp; Crossmatch Card</t>
  </si>
  <si>
    <t>EldolCard 2551 -V (thẻ định nhóm máu)</t>
  </si>
  <si>
    <t>200 test/túi</t>
  </si>
  <si>
    <t>Dung dịch pha loãng hồng cầu Matrix Diluent-2 LISS</t>
  </si>
  <si>
    <t>250 ml/ chai</t>
  </si>
  <si>
    <t>Chai</t>
  </si>
  <si>
    <t>Eryclone Anti-D (IgM)</t>
  </si>
  <si>
    <t>10 ml/lọ</t>
  </si>
  <si>
    <t>Rhofinal Anti-D (IgG+IgM)</t>
  </si>
  <si>
    <t>LÔ HÀNG SỐ 11: VTHC MÁY ĐÔNG MÁU STA COMPACT/STAGO</t>
  </si>
  <si>
    <t xml:space="preserve">STA NEOPLASTINE R15                    </t>
  </si>
  <si>
    <t>Hộp 12x15ml</t>
  </si>
  <si>
    <t>Diagnostica Stago/ Pháp</t>
  </si>
  <si>
    <t>CÔNG TY TNHH THIẾT BỊ ANH PHÁT</t>
  </si>
  <si>
    <t>STA NEOPLASTINE CI + 10</t>
  </si>
  <si>
    <t>Hộp 12x10ml</t>
  </si>
  <si>
    <t xml:space="preserve">STA CK PREST 5 </t>
  </si>
  <si>
    <t>Hộp 6x5ml</t>
  </si>
  <si>
    <t>STA Liquid FIB</t>
  </si>
  <si>
    <t>12 x 4 ml</t>
  </si>
  <si>
    <t>STA Thrombin 2</t>
  </si>
  <si>
    <t>12x2ml</t>
  </si>
  <si>
    <t>STA Thrombin 10</t>
  </si>
  <si>
    <t>12x10ml</t>
  </si>
  <si>
    <t xml:space="preserve">STA CaCL2 0,025 M                                 </t>
  </si>
  <si>
    <t>Hộp 24x15ml</t>
  </si>
  <si>
    <t xml:space="preserve">STA OWREN KOLLER                          </t>
  </si>
  <si>
    <t xml:space="preserve">STA DESORBU </t>
  </si>
  <si>
    <t xml:space="preserve">STA CLEANER SOLUTION     </t>
  </si>
  <si>
    <t>2500ml</t>
  </si>
  <si>
    <t xml:space="preserve">STA liatest CONTROL N+P  </t>
  </si>
  <si>
    <t>Hộp 24x1ml</t>
  </si>
  <si>
    <t xml:space="preserve">STA liatest D-DI  </t>
  </si>
  <si>
    <t>Hộp 6x6ml</t>
  </si>
  <si>
    <t xml:space="preserve">STA CUVETTE 6X 1000  </t>
  </si>
  <si>
    <t xml:space="preserve"> 1000 giếng</t>
  </si>
  <si>
    <t>STA SYSTEM CONTROL N+P</t>
  </si>
  <si>
    <t xml:space="preserve">VACULAB K2EDTA </t>
  </si>
  <si>
    <t>Hộp/100 Tube</t>
  </si>
  <si>
    <t>Tube</t>
  </si>
  <si>
    <t>Boule Medical AB/ 
Thuỵ Điển</t>
  </si>
  <si>
    <t>Tube Citrate 3,8%</t>
  </si>
  <si>
    <t>Khánh Linh/Việt Nam</t>
  </si>
  <si>
    <t>EDTA TUBE</t>
  </si>
  <si>
    <t xml:space="preserve">Tube Serum </t>
  </si>
  <si>
    <t>100 TUBE</t>
  </si>
  <si>
    <t>STA Liquid Anti Xa 4</t>
  </si>
  <si>
    <t>6x4ml</t>
  </si>
  <si>
    <t>STA ECA II</t>
  </si>
  <si>
    <t>2x25 test</t>
  </si>
  <si>
    <t>Stic Expert HIT 5</t>
  </si>
  <si>
    <t>4 test</t>
  </si>
  <si>
    <t>STA Liatest FM</t>
  </si>
  <si>
    <t>STA Liatest FDP</t>
  </si>
  <si>
    <t>6x5ml</t>
  </si>
  <si>
    <t>STA Stachrom AT III 3</t>
  </si>
  <si>
    <t>4x3ml</t>
  </si>
  <si>
    <t>STA Stachrom Protein C</t>
  </si>
  <si>
    <t>6*3ml</t>
  </si>
  <si>
    <t>STA Stachrom Protein S</t>
  </si>
  <si>
    <t>3*2ml</t>
  </si>
  <si>
    <t>STA Staclot DRVV Screen 2</t>
  </si>
  <si>
    <t>STA Staclot DRVV Confirm</t>
  </si>
  <si>
    <t>STA Deficient II</t>
  </si>
  <si>
    <t>6x1ml</t>
  </si>
  <si>
    <t>STA Deficient V</t>
  </si>
  <si>
    <t>STA Deficient VII</t>
  </si>
  <si>
    <t>STA DEFICIENT VIII</t>
  </si>
  <si>
    <t>STA ImmunoDef VIII</t>
  </si>
  <si>
    <t>STA DEFICIENT IX</t>
  </si>
  <si>
    <t>STA Deficient X</t>
  </si>
  <si>
    <t>STA Deficient XI</t>
  </si>
  <si>
    <t>STA ImmunoDef XII</t>
  </si>
  <si>
    <t>STA Rountin QC</t>
  </si>
  <si>
    <t>12x2x2ml</t>
  </si>
  <si>
    <t>STA Rountin QC P Plus</t>
  </si>
  <si>
    <t>24x2ml</t>
  </si>
  <si>
    <t>STA UniCalibrator</t>
  </si>
  <si>
    <t>STA Hepanorm HBPM/LMWH</t>
  </si>
  <si>
    <t>4x3x1ml</t>
  </si>
  <si>
    <t>STA HBPM/LMWH Control</t>
  </si>
  <si>
    <t>6x2x1ml</t>
  </si>
  <si>
    <t>STA Control LA 1+2</t>
  </si>
  <si>
    <t>STA FM Calibrator</t>
  </si>
  <si>
    <t>2x5x1ml</t>
  </si>
  <si>
    <t>STA FM Control</t>
  </si>
  <si>
    <t>STA FDP Calibrator</t>
  </si>
  <si>
    <t>STA FDP Control</t>
  </si>
  <si>
    <t>6x2x1.5ml</t>
  </si>
  <si>
    <t xml:space="preserve">LÔ HÀNG SỐ 12:  VTHC MÁY ĐIỆN DI </t>
  </si>
  <si>
    <t>CAPICLEAN (Dung dịch ly giải)</t>
  </si>
  <si>
    <t>1 x25ml</t>
  </si>
  <si>
    <t xml:space="preserve">Sebia / France </t>
  </si>
  <si>
    <t>CÔNG TY TNHH THIẾT BỊ Y TẾ NGHĨA TÍN</t>
  </si>
  <si>
    <t xml:space="preserve">PATHOLOGICAL HB A2 CONTROL (Kiểm chuẩn Hemoglobin A2) </t>
  </si>
  <si>
    <t>1 x 1ml</t>
  </si>
  <si>
    <t>MINICAP HEMOGLOBIN (E) (Điện di  Hb)</t>
  </si>
  <si>
    <t>254 test</t>
  </si>
  <si>
    <t>Minicap Wash Solution  (Dung dịch rửa mỏy Minicap)</t>
  </si>
  <si>
    <t>2 x 70ml</t>
  </si>
  <si>
    <t>HB AFSC Control  (Chuẩn Hemoglobin)</t>
  </si>
  <si>
    <t>Anti A Monoclonal</t>
  </si>
  <si>
    <t>10ml</t>
  </si>
  <si>
    <t>Linear Chemicals / Spain</t>
  </si>
  <si>
    <t>Anti B Monoclonal</t>
  </si>
  <si>
    <t>Anti A+B Monoclonal</t>
  </si>
  <si>
    <t>Anti D IgM + IgM Monoclonal</t>
  </si>
  <si>
    <t>MINICAP HEMOGLOBIN MAXI KIT  (Điện di  Hb)</t>
  </si>
  <si>
    <t>762 test</t>
  </si>
  <si>
    <t>LÔ HÀNG SỐ 13: TEST NHANH HUYẾT HỌC</t>
  </si>
  <si>
    <t>Serodia TPPA</t>
  </si>
  <si>
    <t>Hộp 100 test</t>
  </si>
  <si>
    <t>Fujirebio, InC - Nhật Bản</t>
  </si>
  <si>
    <t>Công ty Cổ phần Y tế AMVGROUP</t>
  </si>
  <si>
    <t>SD Bioline HIV 1/2 3.0</t>
  </si>
  <si>
    <t>Standard Diagnostics, InC- Hàn Quốc</t>
  </si>
  <si>
    <t>SD Bioline HBsAg</t>
  </si>
  <si>
    <t>SD Bioline HCV</t>
  </si>
  <si>
    <t>SD Bioline Syphilis 3.0</t>
  </si>
  <si>
    <t>SD Bioline HBeAg</t>
  </si>
  <si>
    <t>Hộp 30 test</t>
  </si>
  <si>
    <r>
      <t xml:space="preserve">SD Bioline Malaria Pf/Pv Ag/Ab
</t>
    </r>
    <r>
      <rPr>
        <b/>
        <sz val="7"/>
        <rFont val="Times New Roman"/>
        <family val="1"/>
      </rPr>
      <t xml:space="preserve">SD Bioline Malaria P.f/P.v </t>
    </r>
  </si>
  <si>
    <t>SD Bioline CHLAMYDIA</t>
  </si>
  <si>
    <t>Hộp 25 test</t>
  </si>
  <si>
    <t>SD Bioline H.Pylori</t>
  </si>
  <si>
    <t>SD Bioline DENGUE IgG/IgM</t>
  </si>
  <si>
    <t>SD Bioline ROTAVIRUS Ag</t>
  </si>
  <si>
    <t>Hộp 20 test</t>
  </si>
  <si>
    <r>
      <t xml:space="preserve">SD Bioline Influenza Ag
</t>
    </r>
    <r>
      <rPr>
        <b/>
        <sz val="7"/>
        <rFont val="Times New Roman"/>
        <family val="1"/>
      </rPr>
      <t>SD Bioline Influenza Antigen</t>
    </r>
  </si>
  <si>
    <t>SD Bioline HCG</t>
  </si>
  <si>
    <t>SD Bioline MOP</t>
  </si>
  <si>
    <t>SD Bioline RUBELLA IgG/IgM</t>
  </si>
  <si>
    <r>
      <t xml:space="preserve">SD Bioline EV71 IgG/IgM
</t>
    </r>
    <r>
      <rPr>
        <b/>
        <sz val="7"/>
        <rFont val="Times New Roman"/>
        <family val="1"/>
      </rPr>
      <t>SD Bioline EV71 IgM</t>
    </r>
  </si>
  <si>
    <t>Murex HIV AG/AB Combination</t>
  </si>
  <si>
    <t>Hộp 96 test</t>
  </si>
  <si>
    <t>Diasorin, S.p.A - Anh</t>
  </si>
  <si>
    <t>Murex HBsAg version 3</t>
  </si>
  <si>
    <t xml:space="preserve">Murex Anti-HCV Version 4 </t>
  </si>
  <si>
    <t>Diasorin, S.p.A - Nam Phi</t>
  </si>
  <si>
    <t>SD Bioline Dengue NS1 Ag</t>
  </si>
  <si>
    <t>SD Bioline Dengue Duo</t>
  </si>
  <si>
    <t>Hộp 10test</t>
  </si>
  <si>
    <t>Ab-EBK Plus</t>
  </si>
  <si>
    <t>Diasorin, S.p.A - Italia</t>
  </si>
  <si>
    <t>Eti-ABK-corek Plus</t>
  </si>
  <si>
    <t>Hộp 192 test</t>
  </si>
  <si>
    <t>Eti-Core IGMK Plus</t>
  </si>
  <si>
    <t>Eti-Ab AUK3</t>
  </si>
  <si>
    <t>Anti Measles  IgG</t>
  </si>
  <si>
    <t>Anti Measles  IgM</t>
  </si>
  <si>
    <t>Đầu côn Cacbon 300</t>
  </si>
  <si>
    <t>Hộp 960 cái</t>
  </si>
  <si>
    <t>cai</t>
  </si>
  <si>
    <t>Eppendord - Đức</t>
  </si>
  <si>
    <t>Đầu côn Cacbon 1100</t>
  </si>
  <si>
    <t>Eti-ABK Plus</t>
  </si>
  <si>
    <t>LÔ HÀNG SỐ 14: VTHC XÉT NGHIỆM VI SINH</t>
  </si>
  <si>
    <t>API 20 E</t>
  </si>
  <si>
    <t>25 thanh</t>
  </si>
  <si>
    <t>BioMerieux/Pháp</t>
  </si>
  <si>
    <t>Công ty TNHH DEKA</t>
  </si>
  <si>
    <t>API 20 NE</t>
  </si>
  <si>
    <t>25 thanh + 25 ống hóa chất</t>
  </si>
  <si>
    <t>API 20 E reagent</t>
  </si>
  <si>
    <t>6 ống</t>
  </si>
  <si>
    <t>BACT/ALERT FA Plus</t>
  </si>
  <si>
    <t>(30 ml/chai x100 chai)/hộp</t>
  </si>
  <si>
    <t>BioMerieux/Mỹ</t>
  </si>
  <si>
    <t>BACT/ALERT PF Plus</t>
  </si>
  <si>
    <t>Blood agar base</t>
  </si>
  <si>
    <t>500g</t>
  </si>
  <si>
    <t>MAST/Anh</t>
  </si>
  <si>
    <t>Mueller Hinton Agar</t>
  </si>
  <si>
    <t>Brain Heart Infusion Broth</t>
  </si>
  <si>
    <t>Mannitol  Agar</t>
  </si>
  <si>
    <t>Columbia Agar</t>
  </si>
  <si>
    <t xml:space="preserve">KLIGLER IRON AGAR       </t>
  </si>
  <si>
    <t>Nutrient Agar</t>
  </si>
  <si>
    <t>Peptone Water</t>
  </si>
  <si>
    <t>Sabouraud Chloramphenicol 2 agar</t>
  </si>
  <si>
    <t>Simmons Citrate Agar</t>
  </si>
  <si>
    <t xml:space="preserve">KOVACS REAGENT       </t>
  </si>
  <si>
    <t>1 ống x 25ml</t>
  </si>
  <si>
    <t>Optochin Discs</t>
  </si>
  <si>
    <t>5 x 50 khoanh</t>
  </si>
  <si>
    <t>X Factor Discs</t>
  </si>
  <si>
    <t>V Factor Discs</t>
  </si>
  <si>
    <t xml:space="preserve">Oxidase Discs </t>
  </si>
  <si>
    <t>Bacitracin Discs (0.1i.u.)</t>
  </si>
  <si>
    <t>Amikacin 30µg</t>
  </si>
  <si>
    <t>5 X 50 khoanh</t>
  </si>
  <si>
    <t>Ampicillin 10µg</t>
  </si>
  <si>
    <t>Ampicillin/Sulbactam 20µg</t>
  </si>
  <si>
    <t>Augmentin 30µg</t>
  </si>
  <si>
    <t>Azithromycin 15µg</t>
  </si>
  <si>
    <t>Cefotaxime 30µg</t>
  </si>
  <si>
    <t>Ceftazidime 30µg</t>
  </si>
  <si>
    <t>Ceftriaxone 30µg</t>
  </si>
  <si>
    <t>Cefuroxime 30µg</t>
  </si>
  <si>
    <t>Cephalexin 30µg</t>
  </si>
  <si>
    <t>Cephalothin 30µg</t>
  </si>
  <si>
    <t>Chloramphenicol 30µg</t>
  </si>
  <si>
    <t>Ciprofloxacin 5µg</t>
  </si>
  <si>
    <t>Clarithromycin 15µg</t>
  </si>
  <si>
    <t>Colistin Sulphate 10µg</t>
  </si>
  <si>
    <t>Cotrimoxazole 25µg</t>
  </si>
  <si>
    <t>Doxycycline 30µg</t>
  </si>
  <si>
    <t>Erythromycin 15µg</t>
  </si>
  <si>
    <t>Gentamicin 10µg</t>
  </si>
  <si>
    <t>Imipenem 10µg</t>
  </si>
  <si>
    <t>Oxacillin 1µg</t>
  </si>
  <si>
    <t>Penicillin G 10 units</t>
  </si>
  <si>
    <t>Piperacillin 100µg</t>
  </si>
  <si>
    <t>Piperacillin/Tazobactam 110µg</t>
  </si>
  <si>
    <t>Nalidixic Acid 30µg</t>
  </si>
  <si>
    <t>Netilmicin 30µg</t>
  </si>
  <si>
    <t>Norfloxacin 10µg</t>
  </si>
  <si>
    <t>Novobiocin 30µg</t>
  </si>
  <si>
    <t>Ofloxacin 5µg</t>
  </si>
  <si>
    <t>Rifampicin 5µg</t>
  </si>
  <si>
    <t>Tobramycin 10µg</t>
  </si>
  <si>
    <t>Vancomycin 30µg</t>
  </si>
  <si>
    <t>FOSFOMYCIN 200µg GLUCOSE 6 PHOSPHATE 50µg</t>
  </si>
  <si>
    <t>D.C.L.S. Agar</t>
  </si>
  <si>
    <t>Trimethoprim 1.25 µgSulfamethoxazole 23.75 µg</t>
  </si>
  <si>
    <t>Levofloxacin 5µg</t>
  </si>
  <si>
    <t>MacConkey Agar No.3</t>
  </si>
  <si>
    <t>Colistin Sulphate 25µg</t>
  </si>
  <si>
    <t>Etest Vancomycin VA 256</t>
  </si>
  <si>
    <t>100 thanh</t>
  </si>
  <si>
    <t xml:space="preserve">Etest Benzylpenicillin PGL 32 </t>
  </si>
  <si>
    <t>30 thanh</t>
  </si>
  <si>
    <t>Etest Cefotaxime CT 256</t>
  </si>
  <si>
    <t>Etest Meropenem</t>
  </si>
  <si>
    <t xml:space="preserve">Etest  Gentamycin GM 256  </t>
  </si>
  <si>
    <t>Etest Imipenem IP 32</t>
  </si>
  <si>
    <t>Etest Colistin CO 256</t>
  </si>
  <si>
    <t xml:space="preserve">Etest Amikacin AK 256 </t>
  </si>
  <si>
    <t>Etest Cefotaxime CTL 32</t>
  </si>
  <si>
    <t>Etest Chloramphenicol CL 256</t>
  </si>
  <si>
    <t>Bộ chuẩn máy cấy máu</t>
  </si>
  <si>
    <t>Kit</t>
  </si>
  <si>
    <t>API Staph</t>
  </si>
  <si>
    <t>API Strep</t>
  </si>
  <si>
    <t>API NH</t>
  </si>
  <si>
    <t>10 thanh + 10 ống  hóa chất</t>
  </si>
  <si>
    <t>VP1 + VP2</t>
  </si>
  <si>
    <t>2 x 2 ống</t>
  </si>
  <si>
    <t>NIT 1 + NIT 2</t>
  </si>
  <si>
    <t>ZYM B</t>
  </si>
  <si>
    <t xml:space="preserve"> 2 ống</t>
  </si>
  <si>
    <t>ZYM A</t>
  </si>
  <si>
    <t>NIN</t>
  </si>
  <si>
    <t>2 ống</t>
  </si>
  <si>
    <t xml:space="preserve">API MINERAL OIL        </t>
  </si>
  <si>
    <t>1 lọ x 125 ml</t>
  </si>
  <si>
    <t xml:space="preserve">MCFARLAND STANDARD </t>
  </si>
  <si>
    <t>PYR</t>
  </si>
  <si>
    <t>50 TESTS</t>
  </si>
  <si>
    <t>Remel/Anh</t>
  </si>
  <si>
    <t>Brilliance UTI Agar</t>
  </si>
  <si>
    <t>400g</t>
  </si>
  <si>
    <t>Oxoid/Anh</t>
  </si>
  <si>
    <t>D-Coccosel agar</t>
  </si>
  <si>
    <t>500 G</t>
  </si>
  <si>
    <t>Cefixime 5µg</t>
  </si>
  <si>
    <t>Moxifloxacin 5µg</t>
  </si>
  <si>
    <t>Cefoxitin 30µg</t>
  </si>
  <si>
    <t xml:space="preserve"> Meropenem 10µg</t>
  </si>
  <si>
    <t>Doripenem 30µg</t>
  </si>
  <si>
    <t>Tetracycline 30µg</t>
  </si>
  <si>
    <t>Clindamycin 2µg</t>
  </si>
  <si>
    <t>ESBL Ceftazidime paired ID discs</t>
  </si>
  <si>
    <t>6 X 50 khoanh</t>
  </si>
  <si>
    <t>ESBL Cefotaxime paired ID discs</t>
  </si>
  <si>
    <t>Cefepime 30 &amp; Cefepime/Clavulanic Acid 30/10</t>
  </si>
  <si>
    <t>Cefpodoxime10 &amp; Cefpodoxime/Clavulanic Acid 10/1</t>
  </si>
  <si>
    <t>BRILLIANCE CANDIDA AGAR</t>
  </si>
  <si>
    <t>BRILLIANCE CANDIDA 
SELECTIVE SUPPLEMENT</t>
  </si>
  <si>
    <t>10X500 ML</t>
  </si>
  <si>
    <t>VIDAS CMV IgM</t>
  </si>
  <si>
    <t>30 test</t>
  </si>
  <si>
    <t>VIDAS CMV IgG</t>
  </si>
  <si>
    <t>60 test</t>
  </si>
  <si>
    <t>VIDAS EBV VCA IgM</t>
  </si>
  <si>
    <t>VIDAS EBV VCA/EA IGG</t>
  </si>
  <si>
    <t>VIDAS EBNA IGG</t>
  </si>
  <si>
    <t xml:space="preserve">VIDAS MEASLES IGG    </t>
  </si>
  <si>
    <t>VIDAS TOXO IgM</t>
  </si>
  <si>
    <t>VIDAS TOXO IgG II</t>
  </si>
  <si>
    <t>VIDAS HBe/Anti-Hbe</t>
  </si>
  <si>
    <t>VIDAS Anti-HBc Total II</t>
  </si>
  <si>
    <t>VIDAS HBc IgM II</t>
  </si>
  <si>
    <t>Vidas Anti - HBs Total II</t>
  </si>
  <si>
    <t xml:space="preserve">VIDAS ANTI HCV </t>
  </si>
  <si>
    <t xml:space="preserve">VIDAS HAV IGM         </t>
  </si>
  <si>
    <t>VIDAS ANTI-HAV TOTAL</t>
  </si>
  <si>
    <t>VIDAS B.R.A.H.M.S PCT</t>
  </si>
  <si>
    <t xml:space="preserve">Etest Amoci/clav XL 256 </t>
  </si>
  <si>
    <t>Etest Ampi/sulb 2/1 AB 256</t>
  </si>
  <si>
    <t>Etest Cefepime PM 256</t>
  </si>
  <si>
    <t>Etest Cefixime IX 256</t>
  </si>
  <si>
    <t>Etest Doxycyline DC 256</t>
  </si>
  <si>
    <t>Etest  Linezolid LZ 256</t>
  </si>
  <si>
    <t>Etest Tetracycline TC 256</t>
  </si>
  <si>
    <t>Etest Trim/Sulfa 1/19 TS 32</t>
  </si>
  <si>
    <t>Polymyxin B 300 units</t>
  </si>
  <si>
    <t>LÔ HÀNG SỐ 15:  VTHC MÁY XÉT NGHIỆM MIỄN DỊCH ABBOTT ARCHITECT i1000sr</t>
  </si>
  <si>
    <t xml:space="preserve">AFP 3 Reagent </t>
  </si>
  <si>
    <t>100 Test/hộp</t>
  </si>
  <si>
    <t>ABBOTT/ MỸ</t>
  </si>
  <si>
    <t>CÔNG TY TNHH THIẾT BỊ VIỆT BA</t>
  </si>
  <si>
    <t>AFP 3 Controls</t>
  </si>
  <si>
    <t>3x8ml</t>
  </si>
  <si>
    <t>AFP 3 Calibrators</t>
  </si>
  <si>
    <t>2x4ml</t>
  </si>
  <si>
    <t>CEA RGT 100</t>
  </si>
  <si>
    <t>CEA Controls</t>
  </si>
  <si>
    <t xml:space="preserve">CEA Calibrators </t>
  </si>
  <si>
    <t xml:space="preserve">CA125 Reagent  </t>
  </si>
  <si>
    <t>CA 125 Controls</t>
  </si>
  <si>
    <t>CA 125 Calibrators</t>
  </si>
  <si>
    <t>CA 15-3 Reagent</t>
  </si>
  <si>
    <t>CA 15-3 Controls</t>
  </si>
  <si>
    <t>CA 15-3 Calibrators</t>
  </si>
  <si>
    <t>CA 19-9 Controls</t>
  </si>
  <si>
    <t>CA 19-9 Calibrators</t>
  </si>
  <si>
    <t xml:space="preserve"> Cyfra 21-1 Reagent</t>
  </si>
  <si>
    <t>100Test/hộp</t>
  </si>
  <si>
    <t xml:space="preserve"> Cyfra 21-1 Calibrators</t>
  </si>
  <si>
    <t xml:space="preserve"> Cyfra 21-1 Controls</t>
  </si>
  <si>
    <t>HE4 Reagent</t>
  </si>
  <si>
    <t>HE4 Controls</t>
  </si>
  <si>
    <t>HE4 Calibrators</t>
  </si>
  <si>
    <t xml:space="preserve">Total PSA Reagent  </t>
  </si>
  <si>
    <t>Total PSA  Controls</t>
  </si>
  <si>
    <t xml:space="preserve">Total PSA Calibrators   </t>
  </si>
  <si>
    <t>Free PSA Reagent</t>
  </si>
  <si>
    <t xml:space="preserve">Free PSA Controls </t>
  </si>
  <si>
    <t xml:space="preserve">Free PSA Calibrators   </t>
  </si>
  <si>
    <t>SCC Reagent</t>
  </si>
  <si>
    <t>SCC Controls</t>
  </si>
  <si>
    <t>SCC Calibrators</t>
  </si>
  <si>
    <t xml:space="preserve">Pro GRP Reagent </t>
  </si>
  <si>
    <t>Pro GRP Calibrators</t>
  </si>
  <si>
    <t>Pro GRP Controls</t>
  </si>
  <si>
    <t xml:space="preserve">TSH Reagent     </t>
  </si>
  <si>
    <t xml:space="preserve">TSH Controls </t>
  </si>
  <si>
    <t xml:space="preserve">TSH Calibrators </t>
  </si>
  <si>
    <t>Free T3 Reagent</t>
  </si>
  <si>
    <t xml:space="preserve">Free T3 Controls </t>
  </si>
  <si>
    <t>Free T3 Calibrators</t>
  </si>
  <si>
    <t>Total T3 Reagent</t>
  </si>
  <si>
    <t>Total T3 Calibrators</t>
  </si>
  <si>
    <t xml:space="preserve">Free T4 Reagent </t>
  </si>
  <si>
    <t>Free T4 Controls</t>
  </si>
  <si>
    <t>Free T4 Calibrators</t>
  </si>
  <si>
    <t>1x5ml+1x4ml</t>
  </si>
  <si>
    <t xml:space="preserve">Testosterone Reagent </t>
  </si>
  <si>
    <t xml:space="preserve">Testosterone  Controls </t>
  </si>
  <si>
    <t>Testosterone Calibrators</t>
  </si>
  <si>
    <t xml:space="preserve">Estrasiol Reagent  </t>
  </si>
  <si>
    <t>Estradiol Controls</t>
  </si>
  <si>
    <t>Estradiol Calibrators</t>
  </si>
  <si>
    <t>FSH Reagent</t>
  </si>
  <si>
    <t xml:space="preserve">FSH Controls  </t>
  </si>
  <si>
    <t>FSH Calibrators</t>
  </si>
  <si>
    <t xml:space="preserve">Prolactin Reagent </t>
  </si>
  <si>
    <t>Prolactin Controls</t>
  </si>
  <si>
    <t>Prolactin Calibrators</t>
  </si>
  <si>
    <t xml:space="preserve">Progesterone Reagent </t>
  </si>
  <si>
    <t xml:space="preserve">Progesterone  Controls </t>
  </si>
  <si>
    <t>Progesterone Calibrators</t>
  </si>
  <si>
    <t>SHBG Reagent</t>
  </si>
  <si>
    <t>SHBG Controls</t>
  </si>
  <si>
    <t xml:space="preserve">SHBG Calibrators </t>
  </si>
  <si>
    <t>DHEA-S Reagent</t>
  </si>
  <si>
    <t>DHEA-S Controls</t>
  </si>
  <si>
    <t>DHEA-S Calibrators</t>
  </si>
  <si>
    <t>Cortisol Reagent</t>
  </si>
  <si>
    <t>Cortisol Calibrators</t>
  </si>
  <si>
    <t xml:space="preserve">Ferritin Reagent </t>
  </si>
  <si>
    <t>Ferritin Controls</t>
  </si>
  <si>
    <t>1x4ml</t>
  </si>
  <si>
    <t>Ferritin Calibrators</t>
  </si>
  <si>
    <t>1x8ml</t>
  </si>
  <si>
    <t>Trigger Solution</t>
  </si>
  <si>
    <t>4x975ml</t>
  </si>
  <si>
    <t>Pre-Trigger Solution</t>
  </si>
  <si>
    <t>Anti-CCP Reagent kit</t>
  </si>
  <si>
    <t>Anti-CCP Controls</t>
  </si>
  <si>
    <t>2x7ml</t>
  </si>
  <si>
    <t>Anti- CCP Calibrators</t>
  </si>
  <si>
    <t xml:space="preserve">ARC.Total BHCG Reagent kit  </t>
  </si>
  <si>
    <t xml:space="preserve">ARC.Total BHCG  Controls </t>
  </si>
  <si>
    <t xml:space="preserve">Total BHCG Calibrators </t>
  </si>
  <si>
    <t xml:space="preserve">ARC.HS Troponin Reagent </t>
  </si>
  <si>
    <t xml:space="preserve">ARC.HS Troponin Calibrators </t>
  </si>
  <si>
    <t>ARC.HS Troponin Controls</t>
  </si>
  <si>
    <t>ARC. BNP Reagent</t>
  </si>
  <si>
    <t xml:space="preserve">ARC. BNP Calibrator </t>
  </si>
  <si>
    <t>ARC. BNP Controls</t>
  </si>
  <si>
    <t>Proble Conditioning Solution</t>
  </si>
  <si>
    <t>Total T3 Diluent</t>
  </si>
  <si>
    <t xml:space="preserve">Septum </t>
  </si>
  <si>
    <t>200pc</t>
  </si>
  <si>
    <t>Sample Cup</t>
  </si>
  <si>
    <t xml:space="preserve">Reaction Vessel (Cuvvett) </t>
  </si>
  <si>
    <t>2000 cái/túi</t>
  </si>
  <si>
    <t>Concentrate Wash Buffer</t>
  </si>
  <si>
    <t>4x1L</t>
  </si>
  <si>
    <t xml:space="preserve">TARCROLYMUS .Reagent kit  </t>
  </si>
  <si>
    <t>100 tests</t>
  </si>
  <si>
    <t>Abbott/ Hoa Kỳ</t>
  </si>
  <si>
    <t xml:space="preserve">TARCROLYMUS Calibrators </t>
  </si>
  <si>
    <t>6 chai, cal A 6ml, cal B-F 4,5ml/chai</t>
  </si>
  <si>
    <t>CYCLOSPORIN  .Reagent kit</t>
  </si>
  <si>
    <t>CYCLOSPORIN Calibrators</t>
  </si>
  <si>
    <t>SIROLIMUS REAGENT KIT</t>
  </si>
  <si>
    <t>SIROLIMUS Calibrator</t>
  </si>
  <si>
    <t>Technopart transplant Trilevel</t>
  </si>
  <si>
    <t>3 x 10ml</t>
  </si>
  <si>
    <t>Transplant Pretreatment tubes</t>
  </si>
  <si>
    <t>100 tubes</t>
  </si>
  <si>
    <t>Centrifuge tube</t>
  </si>
  <si>
    <t>Cyclosporine whole blood precip</t>
  </si>
  <si>
    <t>1 chai (12,3ml/chai) 1 chai 45ml chai</t>
  </si>
  <si>
    <t>ARC HBSAG QUALITATIVE II CAL</t>
  </si>
  <si>
    <t>2 chai, 4 ml/chai</t>
  </si>
  <si>
    <t>Abbott/ Đức</t>
  </si>
  <si>
    <t>ARC HBSAG QUALITATIVE II CTL</t>
  </si>
  <si>
    <t>2 chai, 8mL /chai</t>
  </si>
  <si>
    <t>ARC HBSAG QUALITATIVE II Reagent</t>
  </si>
  <si>
    <t xml:space="preserve">100 tests </t>
  </si>
  <si>
    <t>Arc.HBsAg Quali. confir manual Diluent</t>
  </si>
  <si>
    <t>1 chai ( mL/chai)</t>
  </si>
  <si>
    <t>Abbott/ Ireland</t>
  </si>
  <si>
    <t>ARC.CMV IgG Avidity Calibrators&amp; Controls</t>
  </si>
  <si>
    <t>1 chai (6.0 mL/chai) ;2 chai (8.0 mL /chai)</t>
  </si>
  <si>
    <t xml:space="preserve">ARC.CMV IgG Avidity  Reagent kit  </t>
  </si>
  <si>
    <t>ARC EBV VCA IGG CAL</t>
  </si>
  <si>
    <t>1 chai (4 mL/chai)</t>
  </si>
  <si>
    <t>ARC EBV VCA IGG CONTROLS</t>
  </si>
  <si>
    <t>2 chai (8ml/ chai)</t>
  </si>
  <si>
    <t>ARC EBV VCA IGG Reagent 100T</t>
  </si>
  <si>
    <t>ARC EBV VCA IGM CAL</t>
  </si>
  <si>
    <t>ARC EBV VCA IGM CONTROLS</t>
  </si>
  <si>
    <t>ARC EBV VCA IGM Reagent 100T</t>
  </si>
  <si>
    <t>ARC EBV EBNA IGG CAL</t>
  </si>
  <si>
    <t>ARC EBV EBNA IGG CONTROLS</t>
  </si>
  <si>
    <t>ARC EBV EBNA IGG Reagent 100T</t>
  </si>
  <si>
    <t>ARC HIV COMBO Calibrators</t>
  </si>
  <si>
    <t>1 chai ,4mL/chai</t>
  </si>
  <si>
    <t>ARC HIV COMBO Controls</t>
  </si>
  <si>
    <t>4 chai, 8mL/ chai</t>
  </si>
  <si>
    <t>ARC HIV COMBO Reagent kit</t>
  </si>
  <si>
    <t xml:space="preserve">ARC.CMV IgG Calibrators   </t>
  </si>
  <si>
    <t>6 chai (4.0 mL/ chai)</t>
  </si>
  <si>
    <t xml:space="preserve">ARC.CMV IgG Controls   </t>
  </si>
  <si>
    <t>3 chai (8.0 mL /chai)</t>
  </si>
  <si>
    <t xml:space="preserve">ARC.CMV IgG Reagent kit </t>
  </si>
  <si>
    <t xml:space="preserve">ARC.CMV IgM Calibrators   </t>
  </si>
  <si>
    <t>1 chai (4mL/chai)</t>
  </si>
  <si>
    <t xml:space="preserve">ARC.CMV IgM Controls   </t>
  </si>
  <si>
    <t>2 chai (4.0 mL /chai)</t>
  </si>
  <si>
    <t xml:space="preserve">ARC.CMV IgM Reagent kit </t>
  </si>
  <si>
    <t xml:space="preserve">ARC.Rubella IgG Calibrators   </t>
  </si>
  <si>
    <t>6 chai (4.0 mL /chai)</t>
  </si>
  <si>
    <t xml:space="preserve">ARC.Rubella IgG  Controls  </t>
  </si>
  <si>
    <t xml:space="preserve">ARC.Rubella IgG Reagent kit </t>
  </si>
  <si>
    <t xml:space="preserve">ARC.Rubella IgM Calibrators   </t>
  </si>
  <si>
    <t>1 chai, 4 mL/chai</t>
  </si>
  <si>
    <t xml:space="preserve">ARC.Rubella IgM   Controls  </t>
  </si>
  <si>
    <t>ARC.Rubella IgM Reagent kit</t>
  </si>
  <si>
    <t xml:space="preserve">ARC.Toxo IgG Calibrators   </t>
  </si>
  <si>
    <t xml:space="preserve">ARC.Toxo IgG Controls   </t>
  </si>
  <si>
    <t>ARC.Toxo IgG Reagent kit</t>
  </si>
  <si>
    <t xml:space="preserve">ARC.Toxo IgM Calibrators   </t>
  </si>
  <si>
    <t>1 chai (4.0 mL/chai)</t>
  </si>
  <si>
    <t xml:space="preserve">ARC.Toxo IgM Controls   </t>
  </si>
  <si>
    <t>2 chai (4.0 mL/ chai)</t>
  </si>
  <si>
    <t>ARC.Toxo IgM Reagent kit</t>
  </si>
  <si>
    <t xml:space="preserve">ARC.HAVAB IgG Calibrators   </t>
  </si>
  <si>
    <t xml:space="preserve">ARC.HAVAB IgG  Controls  </t>
  </si>
  <si>
    <t>2chai8mL/chai</t>
  </si>
  <si>
    <t>ARC.HAVAB IgG Reagent kit</t>
  </si>
  <si>
    <t xml:space="preserve">ARC.HAVAB IgM Calibrators   </t>
  </si>
  <si>
    <t>1 chai,4mL/chai</t>
  </si>
  <si>
    <t xml:space="preserve">ARC.HAVAB IgM Controls  </t>
  </si>
  <si>
    <t>2 chai, 8mL/chai</t>
  </si>
  <si>
    <t>ARC.HAVAB IgM Reagent kit</t>
  </si>
  <si>
    <t xml:space="preserve">ARC.HBeAg Calibrators </t>
  </si>
  <si>
    <t>2 chai, 4mL /chai</t>
  </si>
  <si>
    <t xml:space="preserve">ARC.HBeAg Controls   </t>
  </si>
  <si>
    <t>1 chai, 8mL/chai</t>
  </si>
  <si>
    <t xml:space="preserve">ARC.HBeAg Reagent kit </t>
  </si>
  <si>
    <t xml:space="preserve">ARC.Anti-HBc IgM Calibrators   </t>
  </si>
  <si>
    <t>2 chai,  4mL/chai</t>
  </si>
  <si>
    <t xml:space="preserve">ARC.Anti-HBc IgM Controls  </t>
  </si>
  <si>
    <t>2 chai, 8ml/chai</t>
  </si>
  <si>
    <t xml:space="preserve">ARC.Anti-HBc IgM Reagent Kit  </t>
  </si>
  <si>
    <t xml:space="preserve">ARC.Anti-HBe Calibrators   </t>
  </si>
  <si>
    <t xml:space="preserve">ARC.Anti Hbe  Controls  </t>
  </si>
  <si>
    <t>2 chai, 8mL / chai</t>
  </si>
  <si>
    <t>ARC.Anti-HBe Reagent kit</t>
  </si>
  <si>
    <t>ARC.HBsAg Calibrators</t>
  </si>
  <si>
    <t>2 chai (4 mL /chai)</t>
  </si>
  <si>
    <t>ARC.HBsAg Controls</t>
  </si>
  <si>
    <t>3 chai (8 mL /chai)</t>
  </si>
  <si>
    <t>HBSAG MAN DIL</t>
  </si>
  <si>
    <t>1 chai (100 ml/ chai)</t>
  </si>
  <si>
    <t>Arc.HBsAg Reagent kit (autodilution)</t>
  </si>
  <si>
    <t xml:space="preserve">ARC.Anti HCV Calibrators   </t>
  </si>
  <si>
    <t xml:space="preserve">ARC.Anti HCV Controls   </t>
  </si>
  <si>
    <t>2 chai (8 ml/chai)</t>
  </si>
  <si>
    <t>Arc.Anti HCV Reagent kit</t>
  </si>
  <si>
    <t>500 test</t>
  </si>
  <si>
    <t>ARC.TOxO IgG AVIDITY Calibrators&amp;Controls</t>
  </si>
  <si>
    <t>1 chai (6.0 mL/chai)</t>
  </si>
  <si>
    <t>ARC.TOxO IgG AVIDITY Reagent kit</t>
  </si>
  <si>
    <t xml:space="preserve">ARC.rHTLV I/II Calibrators   </t>
  </si>
  <si>
    <t xml:space="preserve">ARC.rHTLV I/II Controls  </t>
  </si>
  <si>
    <t>2 chai (8.0 mL /chai)</t>
  </si>
  <si>
    <t>ARC.rHTLV I/II Reagent kit</t>
  </si>
  <si>
    <t>ARC. Anti HBs Calibrators</t>
  </si>
  <si>
    <t>Abbott/  Ireland</t>
  </si>
  <si>
    <t>ARC. Anti HBs Controls</t>
  </si>
  <si>
    <t>3 chai (8 ml/chai)</t>
  </si>
  <si>
    <t>ARC. Anti HBs Reagent kit</t>
  </si>
  <si>
    <t xml:space="preserve">ARC.Manual Diluent   </t>
  </si>
  <si>
    <t>1 chaimL/chai</t>
  </si>
  <si>
    <t xml:space="preserve">ARC.Syphilis TP Calibrators   </t>
  </si>
  <si>
    <t xml:space="preserve">ARC.Syphilis TP Controls  </t>
  </si>
  <si>
    <t>2 chai (8 mL/ chai)</t>
  </si>
  <si>
    <t>ARC.Syphil TP Reagent kit</t>
  </si>
  <si>
    <t>ARC.probe conditioning solution</t>
  </si>
  <si>
    <t>4 chai, 25ml/chai</t>
  </si>
  <si>
    <t xml:space="preserve">ARC.septum   </t>
  </si>
  <si>
    <t>200 cái / thùng</t>
  </si>
  <si>
    <t>Thùng</t>
  </si>
  <si>
    <t xml:space="preserve">ARC.replacement caps   </t>
  </si>
  <si>
    <t xml:space="preserve"> mẫu / hộp</t>
  </si>
  <si>
    <t>ARC.Reaction vessels</t>
  </si>
  <si>
    <t>8 hộp/thùng, ống/hộp</t>
  </si>
  <si>
    <t xml:space="preserve">ARC.Concentrated   Wash Buffer </t>
  </si>
  <si>
    <t>4 hộp, 975ml/hộp</t>
  </si>
  <si>
    <t xml:space="preserve">ARC.trigger solution   </t>
  </si>
  <si>
    <t>4 chai,  975 mL/chai</t>
  </si>
  <si>
    <t xml:space="preserve">ARC.Pre-Trigger Solution  </t>
  </si>
  <si>
    <t>4 chai, 975mL/chai</t>
  </si>
  <si>
    <t xml:space="preserve">ARC.Tacrolimus Whole  Blood Precip </t>
  </si>
  <si>
    <t>1 chai ,20.4 /mL</t>
  </si>
  <si>
    <t>Abbott/Mỹ</t>
  </si>
  <si>
    <t>Technopath MCC - Multichem IA Plus Tri-Level (Assayed)</t>
  </si>
  <si>
    <t>3x4x5ml</t>
  </si>
  <si>
    <t>ARC. Pepsinogen I Calibrators</t>
  </si>
  <si>
    <t>2 chai x 4 mL</t>
  </si>
  <si>
    <t>ARC. Pepsinogen I Controls</t>
  </si>
  <si>
    <t>3 chai x 8 mL</t>
  </si>
  <si>
    <t>ARC. Pepsinogen I Reagent Kit</t>
  </si>
  <si>
    <t>ARC. Pepsinogen II Calibrators</t>
  </si>
  <si>
    <t>ARC. Pepsinogen II Controls</t>
  </si>
  <si>
    <t>ARC. Pepsinogen II Reagent kit</t>
  </si>
  <si>
    <t>LH CAL</t>
  </si>
  <si>
    <t>6 chai (4 mL/ chai)</t>
  </si>
  <si>
    <t>LH Reagent</t>
  </si>
  <si>
    <t>LÔ HÀNG SỐ 16 :  VTHC XÉT NGHIỆM GIẢI PHẪU BỆNH</t>
  </si>
  <si>
    <t>Giêm sa mẹ</t>
  </si>
  <si>
    <t>1lít/ chai</t>
  </si>
  <si>
    <t>Merck/Đức</t>
  </si>
  <si>
    <t>Công Ty Cổ Phần Biotech Việt Nam</t>
  </si>
  <si>
    <t>Formol thường</t>
  </si>
  <si>
    <t>500 ml/ chai</t>
  </si>
  <si>
    <t>Formol P.A</t>
  </si>
  <si>
    <t>Xy len (2,5lit/chai)</t>
  </si>
  <si>
    <t>2,5 lít/ chai</t>
  </si>
  <si>
    <t>Nến hạt cho máy đúc</t>
  </si>
  <si>
    <t>1 kg/ túi</t>
  </si>
  <si>
    <t>Leica Biosystems/Mỹ</t>
  </si>
  <si>
    <t>Sulfat đồng</t>
  </si>
  <si>
    <t>Xilong/Trung Quốc</t>
  </si>
  <si>
    <t>Dầu soi kính</t>
  </si>
  <si>
    <t>50 ml/ lọ</t>
  </si>
  <si>
    <t>keo dán lam 118ml</t>
  </si>
  <si>
    <t>118 ml/ lọ</t>
  </si>
  <si>
    <t>kit nhuộm PAS( 2 chai/bộ)</t>
  </si>
  <si>
    <t>2 chai/ bộ</t>
  </si>
  <si>
    <t>Hematoxylin 560</t>
  </si>
  <si>
    <t>4 lọ/ hộp</t>
  </si>
  <si>
    <t>Eosin Y 515</t>
  </si>
  <si>
    <t>Casette có nắp cho máy chuyển</t>
  </si>
  <si>
    <t>250 cái/ hộp</t>
  </si>
  <si>
    <t>Simport/Canada</t>
  </si>
  <si>
    <t>Casette không nắp cho máy đúc</t>
  </si>
  <si>
    <t>500 cái/ hộp</t>
  </si>
  <si>
    <t>Lamen 22 x 40mm</t>
  </si>
  <si>
    <t>Citoglas/Mỹ</t>
  </si>
  <si>
    <t xml:space="preserve">Lưỡi dao cắt vi thể </t>
  </si>
  <si>
    <t>50 chiếc/ hộp</t>
  </si>
  <si>
    <t>Leica Biosystems/Đức</t>
  </si>
  <si>
    <t>tuýt ly tâm</t>
  </si>
  <si>
    <t>50 bộ/ hộp</t>
  </si>
  <si>
    <t>dung dịch khử can xi</t>
  </si>
  <si>
    <t>500 ml/ hộp</t>
  </si>
  <si>
    <t>Bộ kháng thể 2 (BOND Polymer Refine Detection)</t>
  </si>
  <si>
    <t>Bộ 07 lọ</t>
  </si>
  <si>
    <t>kit</t>
  </si>
  <si>
    <t>Leica Biosystems/Anh</t>
  </si>
  <si>
    <t>Bộ nhuộm mầu (Novolink Polymer Detection)</t>
  </si>
  <si>
    <t>Bộ 03 lọ</t>
  </si>
  <si>
    <t>Bộc lộ kháng nguyên (Bond Epitope Retrieval)</t>
  </si>
  <si>
    <t>Chai 1 lít</t>
  </si>
  <si>
    <t>Dung dịch rửa (Bond Wash Solution 10X)</t>
  </si>
  <si>
    <t>chai</t>
  </si>
  <si>
    <t>Cuộn giấy in nhãn gắn lam (Bond Slide Labels &amp; Printer Ribbon)</t>
  </si>
  <si>
    <t>1000 nhãn</t>
  </si>
  <si>
    <t>Ống trộn hóa chất (DAB Mixing Station)</t>
  </si>
  <si>
    <t>5 ống/hộp</t>
  </si>
  <si>
    <t>Lọ đựng kháng thể (BOND Containers)</t>
  </si>
  <si>
    <t>10 ống/hộp</t>
  </si>
  <si>
    <t>Nắp đậy lam kính (BOND Universal Covertiles)</t>
  </si>
  <si>
    <t>Dung dịch rã nến (BOND Dewax Solution)</t>
  </si>
  <si>
    <t>Dung dịch bộc lộ kháng nguyên (BOND Epitope Retrieval Solution)</t>
  </si>
  <si>
    <t>Dung dịch pha loãng kháng thể (BOND Primary Antibody Diluent)</t>
  </si>
  <si>
    <t>Chai 500 ml</t>
  </si>
  <si>
    <t>Nước rửa tiêu bản (Bond Aspirating Probe Cleaning)</t>
  </si>
  <si>
    <t>1 kit</t>
  </si>
  <si>
    <t>Leica Biosystems/Úc</t>
  </si>
  <si>
    <t>Bộ hóa chất chuẩn (BOND Titration Kit)</t>
  </si>
  <si>
    <t>Lam kính nhuộm hóa mô miễn dịch Xtra</t>
  </si>
  <si>
    <t>Kit kháng thể Estrogen Receptor</t>
  </si>
  <si>
    <t>30ml&amp;7ml/kit</t>
  </si>
  <si>
    <t>Kit kháng thể Progesterone Receptor</t>
  </si>
  <si>
    <t>Kít kháng thể Cytokeratin 5</t>
  </si>
  <si>
    <t>Kít kháng thể Cytokeratin 7</t>
  </si>
  <si>
    <t>Kít kháng thể Cytokeratin 14</t>
  </si>
  <si>
    <t>Kít kháng thể Cytokeratin 20</t>
  </si>
  <si>
    <t>Kit kháng thể E-Cadherin</t>
  </si>
  <si>
    <t>Kit kháng thể GCDFP-5</t>
  </si>
  <si>
    <t>Kít kháng thể Ki67</t>
  </si>
  <si>
    <t>Kit kháng thể p53</t>
  </si>
  <si>
    <t>Kit kháng thể p63</t>
  </si>
  <si>
    <t>Kit kháng thể SMA</t>
  </si>
  <si>
    <t>Kit kháng thể Vimentin</t>
  </si>
  <si>
    <t>Kit kháng thể CD3</t>
  </si>
  <si>
    <t>Kit kháng thể CD31 (PECAM-1)</t>
  </si>
  <si>
    <t>Kit kháng thể CD34</t>
  </si>
  <si>
    <t>Kit kháng thể CD68</t>
  </si>
  <si>
    <t>Kit kháng thể CD117</t>
  </si>
  <si>
    <t>Kit kháng thể HMB45</t>
  </si>
  <si>
    <t>Kit kháng thể VWF (Factor VIII)</t>
  </si>
  <si>
    <t>Kit kháng thể IgA</t>
  </si>
  <si>
    <t>30ml &amp; 1ml/kit</t>
  </si>
  <si>
    <t>Kit kháng thể IgD</t>
  </si>
  <si>
    <t>Kit kháng thể IgG</t>
  </si>
  <si>
    <t>Kit kháng thể IgM</t>
  </si>
  <si>
    <t>Kit kháng thể Kappa Light Chain</t>
  </si>
  <si>
    <t>Kit kháng thể Lambda Light Chain</t>
  </si>
  <si>
    <t>Kit kháng thể Melan-A</t>
  </si>
  <si>
    <t>Dung dịch nhuộm Nigrosin</t>
  </si>
  <si>
    <t>100ml/lọ</t>
  </si>
  <si>
    <t>ml</t>
  </si>
  <si>
    <t>Apha Triptophan</t>
  </si>
  <si>
    <t>500g/lọ</t>
  </si>
  <si>
    <t>Gam</t>
  </si>
  <si>
    <t>Rapidlabs/Anh</t>
  </si>
  <si>
    <t>Axit phenic</t>
  </si>
  <si>
    <t>Giấy thử PH</t>
  </si>
  <si>
    <t>100 cái/cuộn</t>
  </si>
  <si>
    <t>Giấy lọc</t>
  </si>
  <si>
    <t>100 tờ/túi</t>
  </si>
  <si>
    <t>NaOH</t>
  </si>
  <si>
    <t>1000g/lọ</t>
  </si>
  <si>
    <t>KOH</t>
  </si>
  <si>
    <t>Gentian Violet</t>
  </si>
  <si>
    <t>25g/lọ</t>
  </si>
  <si>
    <t>Đỏ Fushine</t>
  </si>
  <si>
    <t>Ure</t>
  </si>
  <si>
    <t>250g/lọ</t>
  </si>
  <si>
    <t>Iod</t>
  </si>
  <si>
    <t>Iotdua Kali</t>
  </si>
  <si>
    <t>KHPO4</t>
  </si>
  <si>
    <t>D- Mannit( C6H14 O5)</t>
  </si>
  <si>
    <t>HCL</t>
  </si>
  <si>
    <t>Dung dịch EDTA</t>
  </si>
  <si>
    <t>Dung dịch OranG</t>
  </si>
  <si>
    <t>Dung dịch EA 50</t>
  </si>
  <si>
    <t>LÔ HÀNG SỐ 17 : VTHC MÁY MIỄN DỊCH HÓA PHÁT QUANG TĂNG CƯỜNG VITROS 3600 và HCV ELISA</t>
  </si>
  <si>
    <t>Vitros Anti-HCV Reagent</t>
  </si>
  <si>
    <t>100 test / hộp</t>
  </si>
  <si>
    <t>Hép</t>
  </si>
  <si>
    <t>OCD/ Anh</t>
  </si>
  <si>
    <t>Vitros Anti-HCV Calibrator</t>
  </si>
  <si>
    <t>2 mL</t>
  </si>
  <si>
    <t>Vitros Anti-HCV Control</t>
  </si>
  <si>
    <t>3 x 2 x 1 mL</t>
  </si>
  <si>
    <t>Vitros HBsAg Control</t>
  </si>
  <si>
    <t>3 x 2 x 1.6 mL</t>
  </si>
  <si>
    <t>Vitros HBsAg ES Reagent</t>
  </si>
  <si>
    <t>Vitros HBsAg ES Calibrator</t>
  </si>
  <si>
    <t>Vitros Anti-HBc Reagent</t>
  </si>
  <si>
    <t>Vitros Anti-HBc Calibrator</t>
  </si>
  <si>
    <t>2.2 mL</t>
  </si>
  <si>
    <t>Vitros Anti-HBc Control</t>
  </si>
  <si>
    <t>Vitros Anti-HIV 1+2 Reagent</t>
  </si>
  <si>
    <t>Vitros Anti-HIV 1+2 Calibrator</t>
  </si>
  <si>
    <t>2mL</t>
  </si>
  <si>
    <t>Vitros Anti-HIV 1+2 Control</t>
  </si>
  <si>
    <t>3 x 3 x 1 mL</t>
  </si>
  <si>
    <t>Vitros Signal Reagent</t>
  </si>
  <si>
    <t>2 lọ</t>
  </si>
  <si>
    <t>Vitros Universal Wash Reagent</t>
  </si>
  <si>
    <t>2 b×nh</t>
  </si>
  <si>
    <t>Vitros VITROS VERSATIP BOX/1000</t>
  </si>
  <si>
    <t>1000 tip</t>
  </si>
  <si>
    <t>OCD/ Mỹ</t>
  </si>
  <si>
    <t>Vitros Maintenance Pack</t>
  </si>
  <si>
    <t>2 hộp</t>
  </si>
  <si>
    <t>OCD/Anh</t>
  </si>
  <si>
    <t>Micro Sensor</t>
  </si>
  <si>
    <t>hép</t>
  </si>
  <si>
    <t>LÔ HÀNG SỐ 18 : VTHC MÁY ĐỊNH NHÓM MÁU HOÀN TOÀN TỰ ĐỘNG ORTHO AUTOVUE INNOVA</t>
  </si>
  <si>
    <t>BioVue ABD Confirmation Cassette</t>
  </si>
  <si>
    <t>100 cassette/ hép</t>
  </si>
  <si>
    <t xml:space="preserve">hộp </t>
  </si>
  <si>
    <t>BioVue ABO-Rh/Reverse Cassette</t>
  </si>
  <si>
    <t>BioVue AHG IgG Cassette, 100</t>
  </si>
  <si>
    <t>Reverse Diluent Cassette, 100</t>
  </si>
  <si>
    <t>Ortho BLISS (BioVue)</t>
  </si>
  <si>
    <t>3 x 10 ml</t>
  </si>
  <si>
    <t>Nước muối 0,9%, 500 ml</t>
  </si>
  <si>
    <t>Dung dịch NaOH 0,1M</t>
  </si>
  <si>
    <t>èng</t>
  </si>
  <si>
    <t>Plate 96 giếng</t>
  </si>
  <si>
    <t xml:space="preserve">chiếc </t>
  </si>
  <si>
    <t>Corning/Mỹ</t>
  </si>
  <si>
    <t>LÔ HÀNG SỐ 19 MÁY XÉT NGHIỆM HUYẾT HỌC ADVIA 2120 VÀ ĐỒNG MÁU THROMBOLYZERXRM</t>
  </si>
  <si>
    <t>Thromboplastin DS</t>
  </si>
  <si>
    <t>10x4ml</t>
  </si>
  <si>
    <t>Fisher/Mỹ</t>
  </si>
  <si>
    <t>APTT-XL</t>
  </si>
  <si>
    <t>Calcium Chloride</t>
  </si>
  <si>
    <t>10x10ml</t>
  </si>
  <si>
    <t>Imidazole</t>
  </si>
  <si>
    <t>2x135ml</t>
  </si>
  <si>
    <t>Kaolin</t>
  </si>
  <si>
    <t>1x100ml</t>
  </si>
  <si>
    <t>BE/Đức</t>
  </si>
  <si>
    <t>Bovin Thrombin</t>
  </si>
  <si>
    <t>10x2ml</t>
  </si>
  <si>
    <t>Thrombine Time</t>
  </si>
  <si>
    <t>10x1ml</t>
  </si>
  <si>
    <t>Clean Solution</t>
  </si>
  <si>
    <t>1x500ml</t>
  </si>
  <si>
    <t>Control plasma level 1</t>
  </si>
  <si>
    <t>Control plasma level 2</t>
  </si>
  <si>
    <t>D-Dimer auto kit</t>
  </si>
  <si>
    <t>5x7ml, 5x4ml</t>
  </si>
  <si>
    <t>Fisher/Medirox</t>
  </si>
  <si>
    <t>Factor VIII</t>
  </si>
  <si>
    <t>Fisher/Agen</t>
  </si>
  <si>
    <t>Factor IX</t>
  </si>
  <si>
    <t>Factor X</t>
  </si>
  <si>
    <t>FDP auto kit</t>
  </si>
  <si>
    <t>SHEATH RINSE</t>
  </si>
  <si>
    <t>20 l</t>
  </si>
  <si>
    <t>Siemens/Anh,Mỹ</t>
  </si>
  <si>
    <t>EZWASH</t>
  </si>
  <si>
    <t>2 X 1620 ml</t>
  </si>
  <si>
    <t xml:space="preserve">CN FREE TIMEPAC WITH DEFOAMER </t>
  </si>
  <si>
    <t>2 x 2700 ml
2 x 1100 ml
2 x 1100 ml
1 x 75 ml</t>
  </si>
  <si>
    <t>DIFF TIMEPAC WITH PEROX SHEATH</t>
  </si>
  <si>
    <t>2 x 2725 ml
2 x 650 ml
2 x 575 ml
2 x 585 ml</t>
  </si>
  <si>
    <t>PEROX SHEATH</t>
  </si>
  <si>
    <t>4 x 2725 ml</t>
  </si>
  <si>
    <t>DEFOAMER</t>
  </si>
  <si>
    <t>4 x 125 ml</t>
  </si>
  <si>
    <t>TESTPOINT LOW</t>
  </si>
  <si>
    <t>4 x 4 ml</t>
  </si>
  <si>
    <t>TESTPOINT NORMAL</t>
  </si>
  <si>
    <t>TESTPOINT HIGH</t>
  </si>
  <si>
    <t>Cuvette XRM</t>
  </si>
  <si>
    <t>1x29 cuvettes/thanh, 10 thanh/hộp</t>
  </si>
  <si>
    <t>Thanh</t>
  </si>
  <si>
    <t>LÔ HÀNG SỐ  20 : VTHC MÁY HUYẾT HỌC LH780-BECKMAN COULTER</t>
  </si>
  <si>
    <t>Diatro.Dil-Diff CT</t>
  </si>
  <si>
    <t xml:space="preserve"> 20 lít/01 thùng</t>
  </si>
  <si>
    <t>Diatro.Lyse-Diff CT</t>
  </si>
  <si>
    <t>1 lít/chai</t>
  </si>
  <si>
    <t>Diatro.Erythro CT</t>
  </si>
  <si>
    <t>Diatro.Stabi CT</t>
  </si>
  <si>
    <t>300 ml/chai</t>
  </si>
  <si>
    <t>Diatro.Cleaner CT</t>
  </si>
  <si>
    <t xml:space="preserve"> 05 lít/can</t>
  </si>
  <si>
    <t>can</t>
  </si>
  <si>
    <t>Diatro.Reti SetCT</t>
  </si>
  <si>
    <t>1x1000ml+
1x200ml/hộp</t>
  </si>
  <si>
    <t>Diacon 5 (5-part differential control)</t>
  </si>
  <si>
    <t xml:space="preserve">
3 x3 ml low
3 x3 ml Normal
3 x3 ml High/hộp
</t>
  </si>
  <si>
    <t>Diatrocal (Cal calibrator kit)</t>
  </si>
  <si>
    <t xml:space="preserve">
2x3 ml/hộp</t>
  </si>
  <si>
    <t>LÔ HÀNG SỐ  21 : VTHC máy miễn dịch Advia Centaur XPT</t>
  </si>
  <si>
    <t>Centaur® Cuvettes, 3000 Pcs</t>
  </si>
  <si>
    <t>1 x 3000 pcs</t>
  </si>
  <si>
    <t>Centaur® Sample Tips, 6480 Pcs</t>
  </si>
  <si>
    <t>1 x 6480 pcs</t>
  </si>
  <si>
    <t>ADVIA Centaur® Wash 1</t>
  </si>
  <si>
    <t>2 x 2500 ml</t>
  </si>
  <si>
    <t>ADVIA Centaur® Acid/Base</t>
  </si>
  <si>
    <t>2x1500 ml</t>
  </si>
  <si>
    <t>ADVIA Centaur® Probe Wash 1 Kit</t>
  </si>
  <si>
    <t>2 x 25 ml</t>
  </si>
  <si>
    <t>ADVIA Centaur® Probe Wash 3 Kit</t>
  </si>
  <si>
    <t>1 x 50 ml</t>
  </si>
  <si>
    <t>ADVIA Centaur® Probe Wash 4 Kit</t>
  </si>
  <si>
    <t>1 x 25 ml</t>
  </si>
  <si>
    <t>ADVIA Centaur® Cleaning Solution</t>
  </si>
  <si>
    <t>12 Vials</t>
  </si>
  <si>
    <t>ADVIA Centaur® TOTAL IGE</t>
  </si>
  <si>
    <t>ADVIA Centaur® FERRITIN</t>
  </si>
  <si>
    <t>ADVIA Centaur® FOLATE</t>
  </si>
  <si>
    <t>ADVIA Centaur® VITAMIN B12</t>
  </si>
  <si>
    <t>ADVIA Centaur® C-PEPTIDE</t>
  </si>
  <si>
    <t>ADVIA Centaur® INSULIN</t>
  </si>
  <si>
    <t>ADVIA Centaur® BNP</t>
  </si>
  <si>
    <t>ADVIA Centaur® HS TNI (inc.Cal )</t>
  </si>
  <si>
    <t>ADVIA Centaur® Enhanced Ipth</t>
  </si>
  <si>
    <t>ADVIA Centaur® Vitamin D Total (inc.Cal )</t>
  </si>
  <si>
    <t>ADVIA Centaur® COR</t>
  </si>
  <si>
    <t>ADVIA Centaur® AFP</t>
  </si>
  <si>
    <t>ADVIA Centaur® BR (CA27.29)</t>
  </si>
  <si>
    <t>ADVIA Centaur® CEA</t>
  </si>
  <si>
    <t>ADVIA Centaur® CA 125</t>
  </si>
  <si>
    <t>ADVIA Centaur® CA 15-3</t>
  </si>
  <si>
    <t>ADVIA Centaur® CA 19-9 (inc.Cal)</t>
  </si>
  <si>
    <t>ADVIA Centaur® HER-2/NEU</t>
  </si>
  <si>
    <t>ADVIA Centaur® CPSA</t>
  </si>
  <si>
    <t>ADVIA Centaur® FPSA</t>
  </si>
  <si>
    <t>ADVIA Centaur® PSA</t>
  </si>
  <si>
    <t>ADVIA Centaur® FSH</t>
  </si>
  <si>
    <t>ADVIA Centaur® LH</t>
  </si>
  <si>
    <t>ADVIA Centaur® Enhanced E2</t>
  </si>
  <si>
    <t>ADVIA Centaur® PROGESTERONE</t>
  </si>
  <si>
    <t>ADVIA Centaur® PROLACTIN</t>
  </si>
  <si>
    <t>ADVIA Centaur® THCG</t>
  </si>
  <si>
    <t>ADVIA Centaur® TSTO</t>
  </si>
  <si>
    <t>ADVIA Centaur® ANTI-TG WHO</t>
  </si>
  <si>
    <t>ADVIA Centaur® ANTI-TPO WHO</t>
  </si>
  <si>
    <t>ADVIA Centaur® FT4</t>
  </si>
  <si>
    <t>ADVIA Centaur® ET3</t>
  </si>
  <si>
    <t>ADVIA Centaur® TSH</t>
  </si>
  <si>
    <t>ADVIA Centaur® TSH3 Ultra (inc.Cal)</t>
  </si>
  <si>
    <t>ADVIA Centaur® T-UP 50T</t>
  </si>
  <si>
    <t>ADVIA Centaur® PCT 100T (inc.Cal)</t>
  </si>
  <si>
    <t>ADVIA Centaur® ELF TIMP-1 ReadyPack®</t>
  </si>
  <si>
    <t>ADVIA Centaur® ELF HA ReadyPack</t>
  </si>
  <si>
    <t>ADVIA Centaur® ELF PIIINP ReadyPack</t>
  </si>
  <si>
    <t>ADVIA Centaur® CAL 15 (CA 125II) 2 PK</t>
  </si>
  <si>
    <t>2 x 2 x 2 ml</t>
  </si>
  <si>
    <t>ADVIA Centaur® CAL 30 (eE2) 2PK</t>
  </si>
  <si>
    <t>ADVIA Centaur® CAL 34 (Vitamin D) 2PK</t>
  </si>
  <si>
    <t>ADVIA Centaur® CAL 80 (Total IgE) 2PK</t>
  </si>
  <si>
    <t>ADVIA Centaur® CAL 88 (HCY)</t>
  </si>
  <si>
    <t>ADVIA Centaur® CAL A 2PK</t>
  </si>
  <si>
    <t>2 x 2 x 5 ml</t>
  </si>
  <si>
    <t>ADVIA Centaur® CAL B 2PK</t>
  </si>
  <si>
    <t>ADVIA Centaur® CAL BNP 2PK</t>
  </si>
  <si>
    <t>ADVIA Centaur® CAL C 2PK</t>
  </si>
  <si>
    <t>ADVIA Centaur® CAL CA15-3 2PK</t>
  </si>
  <si>
    <t>ADVIA Centaur® CAL D 2PK</t>
  </si>
  <si>
    <t>ADVIA Centaur® CAL E 2PK</t>
  </si>
  <si>
    <t>ADVIA Centaur® CAL ELF 2PK</t>
  </si>
  <si>
    <t>ADVIA Centaur® CAL Enhanced iPTH 2PK</t>
  </si>
  <si>
    <t>ADVIA Centaur® CAL HER-2/NEU 2PK</t>
  </si>
  <si>
    <t>ADVIA Centaur® CAL INSULIN 2PK</t>
  </si>
  <si>
    <t>2 x 2 x 1 ml</t>
  </si>
  <si>
    <t>ADVIA Centaur® CAL O (aTPO) 2PK</t>
  </si>
  <si>
    <t>ADVIA Centaur® CAL Q (PSA) 2PK</t>
  </si>
  <si>
    <t>ADVIA Centaur® CAL U 2PK</t>
  </si>
  <si>
    <t>ADVIA Centaur® ANTI-TPO Control 1, 2</t>
  </si>
  <si>
    <t>2 x 3 x 2 ml</t>
  </si>
  <si>
    <t>ADVIA Centaur® ANTI-TG Control 1, 2</t>
  </si>
  <si>
    <t>ADVIA Centaur® BNP 1, 2, 3 QC KIT</t>
  </si>
  <si>
    <t>3 x 3 x 2 ml</t>
  </si>
  <si>
    <t>ADVIA Centaur® Enhanced iPTH QC KIT</t>
  </si>
  <si>
    <t>2 x 3 x 1 ml</t>
  </si>
  <si>
    <t>ADVIA Centaur® ELF QC KIT</t>
  </si>
  <si>
    <t>ADVIA Centaur® HER-2/NEU Control 1, 2</t>
  </si>
  <si>
    <t>ADVIA Centaur® PCT QC KIT</t>
  </si>
  <si>
    <t>ADVIA Centaur® Vitamin D QC KIT 6PK</t>
  </si>
  <si>
    <t>3 x 2 x 2 ml</t>
  </si>
  <si>
    <t>LÔ HÀNG SỐ    22   VTHC MÁY  NƯỚC TIỂU COBAS U601</t>
  </si>
  <si>
    <t xml:space="preserve">Cobas u pack </t>
  </si>
  <si>
    <t>400 Test</t>
  </si>
  <si>
    <t>HSX-Roche;NSX-Đức</t>
  </si>
  <si>
    <t>CÔNG TY CỔ PHẦN OPTICA VIỆT NAM</t>
  </si>
  <si>
    <t xml:space="preserve">DEPROTEINIZER </t>
  </si>
  <si>
    <t>125ml</t>
  </si>
  <si>
    <t>HSX-Roche;NSX-Thụy Sỹ</t>
  </si>
  <si>
    <t>Cobas u calibration strip</t>
  </si>
  <si>
    <t>25 Test</t>
  </si>
  <si>
    <t xml:space="preserve">Waste box carton </t>
  </si>
  <si>
    <t>30 Cái</t>
  </si>
  <si>
    <t>Dip&amp;Spin Urine Dipstick Microscopic control</t>
  </si>
  <si>
    <t>4x120ml</t>
  </si>
  <si>
    <t>HSX-Quantimetrix;NSX-Mỹ</t>
  </si>
  <si>
    <t>LÔ HÀNG SỐ    23    : VTHC MÁY MIỄN DỊCH COBAS E601</t>
  </si>
  <si>
    <t>PCT Brahms (Roche) Elecsys cobas e 100</t>
  </si>
  <si>
    <t>IL 6 Elecsys cobas e 100</t>
  </si>
  <si>
    <t>IL 6 CS Elecsys</t>
  </si>
  <si>
    <t>4x2ml</t>
  </si>
  <si>
    <t>TSH Elecsys cobas e 200</t>
  </si>
  <si>
    <t>200 tests</t>
  </si>
  <si>
    <t>TSH CS Elecsys V2</t>
  </si>
  <si>
    <t>4 x 1.3 ml</t>
  </si>
  <si>
    <t>FT3 Elecsys G3 cobas e 200</t>
  </si>
  <si>
    <t>FT3 G3 CS Elecsys</t>
  </si>
  <si>
    <t>4 x 1 ml</t>
  </si>
  <si>
    <t>FT4 G2 Elecsys cobas e 200</t>
  </si>
  <si>
    <t>FT4 G2 CS Elecsys</t>
  </si>
  <si>
    <t>T3 Elecsys cobas e 200</t>
  </si>
  <si>
    <t>T3 CS Elecsys</t>
  </si>
  <si>
    <t>T4 Elecsys cobas e 200 V2</t>
  </si>
  <si>
    <t>T4 CS Elecsys V2</t>
  </si>
  <si>
    <t>TG G2 Elecsys cobas e 100</t>
  </si>
  <si>
    <t>TG G2 CS Elecsys</t>
  </si>
  <si>
    <t>Anti-TPO Elecsys cobas e 100 V3</t>
  </si>
  <si>
    <t>Anti-TPO CS Elecsys</t>
  </si>
  <si>
    <t>4x1.5mL</t>
  </si>
  <si>
    <t>Anti-TG CS Elecsys</t>
  </si>
  <si>
    <t>Anti-TG Elecsys cobas e 100 V4</t>
  </si>
  <si>
    <t>PreciControl Thyro AB Elecsys V2</t>
  </si>
  <si>
    <t>4 x 2 ml</t>
  </si>
  <si>
    <t>Anti-TSHR Elecsys cobas e 100</t>
  </si>
  <si>
    <t>HCG+beta Elecsys cobas e 100 V2</t>
  </si>
  <si>
    <t>HCG+beta CS Elecsys V2</t>
  </si>
  <si>
    <t>HCG STAT Elecsys cobas e 100 V2</t>
  </si>
  <si>
    <t>HCG STAT CS Elecsys V2</t>
  </si>
  <si>
    <t>FSH Elecsys cobas e 100</t>
  </si>
  <si>
    <t>FSH CS Elecsys V2</t>
  </si>
  <si>
    <t>LH Elecsys cobas e 100</t>
  </si>
  <si>
    <t>LH G2 CS Elecsys</t>
  </si>
  <si>
    <t>Prolactin G2 Elecsys cobas e 100 V2.1</t>
  </si>
  <si>
    <t>Prolactin G2 CS Elecsys</t>
  </si>
  <si>
    <t>Estradiol G2 Elecsys cobas e 100 V3</t>
  </si>
  <si>
    <t>Estradiol G2 CS G2 Elecsys</t>
  </si>
  <si>
    <t>Estradiol G3 Elecsys cobas e 100</t>
  </si>
  <si>
    <t>Estradiol G3 CS Elecsys</t>
  </si>
  <si>
    <t>Progesterone G2 Elecsys cobas e 100</t>
  </si>
  <si>
    <t>Progesterone G2 CS Elecsys</t>
  </si>
  <si>
    <t>Testosterone G2 Elecsys cobas e 100</t>
  </si>
  <si>
    <t>Testosterone G2 CS G2 Elecsys V2.1</t>
  </si>
  <si>
    <t>Cortisol Elecsys cobas e 100</t>
  </si>
  <si>
    <t>Cortisol CS Elecsys</t>
  </si>
  <si>
    <t>ACTH Elecsys cobas e 100</t>
  </si>
  <si>
    <t>ACTH CS Elecsys</t>
  </si>
  <si>
    <t>4x1 ml</t>
  </si>
  <si>
    <t>hGH Elecsys cobas e 100</t>
  </si>
  <si>
    <t>hGH CS Elecsys</t>
  </si>
  <si>
    <t>AMH Elecsys cobas e 100</t>
  </si>
  <si>
    <t>AMH CS Elecsys</t>
  </si>
  <si>
    <t>AMH PC Elecsys</t>
  </si>
  <si>
    <t>4 x 2 mL</t>
  </si>
  <si>
    <t>Ferritin Elecsys cobas e 100 V2</t>
  </si>
  <si>
    <t>Ferritin CS Elecsys V2</t>
  </si>
  <si>
    <t>Folate G3 Elecsys cobas e 100</t>
  </si>
  <si>
    <t>Folate G3 CS Elecsys</t>
  </si>
  <si>
    <t>Vitamin B12 Elecsys cobas e 100 V2</t>
  </si>
  <si>
    <t>Vitamin B12 G2 CS Elecsys</t>
  </si>
  <si>
    <t>Folate RBC Elecsys cobas e 100</t>
  </si>
  <si>
    <t>Folate RBC CS Elecsys</t>
  </si>
  <si>
    <t>Folate RBC Hemolyzing Elecsys,cobas e</t>
  </si>
  <si>
    <t>4 x 200 mL</t>
  </si>
  <si>
    <t>AFP Elecsys cobas e 100 V1.1</t>
  </si>
  <si>
    <t>AFP Elecsys cobas e 200</t>
  </si>
  <si>
    <t>AFP G2 CS Elecsys V2.1</t>
  </si>
  <si>
    <t>CEA Elecsys cobas e 100</t>
  </si>
  <si>
    <t>CEA Elecsys cobas e 200</t>
  </si>
  <si>
    <t>CEA CS Elecsys V2</t>
  </si>
  <si>
    <t>Total PSA Elecsys cobas e 100 V2.1</t>
  </si>
  <si>
    <t>Total PSA Elecsys cobas e 200</t>
  </si>
  <si>
    <t>Total PSA G2 CS Elecsys V2.1</t>
  </si>
  <si>
    <t>free PSA Elecsys cobas e 100 V2</t>
  </si>
  <si>
    <t>free PSA CS Elecsys V2</t>
  </si>
  <si>
    <t>NSE Elecsys cobas e 100</t>
  </si>
  <si>
    <t>NSE CS Elecsys</t>
  </si>
  <si>
    <t>CA 125 G2 Elecsys cobas e 100</t>
  </si>
  <si>
    <t>CA 125 G2 CS G2 Elecsys</t>
  </si>
  <si>
    <t>4x1ml</t>
  </si>
  <si>
    <t>CA 15-3 G2 Elecsys cobas e 100</t>
  </si>
  <si>
    <t>CA 15-3 G2 CS Elecsys</t>
  </si>
  <si>
    <t>CA 19-9 Elecsys cobas e 100</t>
  </si>
  <si>
    <t>CA 19-9 CS Elecsys</t>
  </si>
  <si>
    <t>CA 72-4 Elecsys cobas e 100</t>
  </si>
  <si>
    <t>CA 72-4 CS Elecsys</t>
  </si>
  <si>
    <t>Cyfra 21-1 Elecsys cobas e 100</t>
  </si>
  <si>
    <t>Cyfra 21-1 CS Elecsys V2</t>
  </si>
  <si>
    <t>HE4 Elecsys cobas e 100</t>
  </si>
  <si>
    <t>HE4 CS Elecsys</t>
  </si>
  <si>
    <t>HE4 PC Elecsys</t>
  </si>
  <si>
    <t>Troponin T hs STAT Elecsys cobas e 100</t>
  </si>
  <si>
    <t>Troponin T hs STAT CS Elecsys</t>
  </si>
  <si>
    <t>Troponin T hs Elecsys cobas e 200</t>
  </si>
  <si>
    <t>Troponin T hs CS Elecsys</t>
  </si>
  <si>
    <t>CK-MB Elecsys cobas e 100 V4</t>
  </si>
  <si>
    <t>CK-MB CS Elecsys V4</t>
  </si>
  <si>
    <t>CK-MB STAT Elecsys cobas e 100 V4</t>
  </si>
  <si>
    <t>CK-MB STAT CS Elecsys V4</t>
  </si>
  <si>
    <t>Myoglobin Elecsys cobas e 100</t>
  </si>
  <si>
    <t>Myoglobin CS Elecsys</t>
  </si>
  <si>
    <t>1ml x 4</t>
  </si>
  <si>
    <t>proBNP G2 Elecsys cobas e 100</t>
  </si>
  <si>
    <t>proBNP G2 CS Elecsys</t>
  </si>
  <si>
    <t>PTH Elecsys cobas e 100</t>
  </si>
  <si>
    <t>PTH CS Elecsys</t>
  </si>
  <si>
    <t>Vitamin D total Elecsys cobas e 100</t>
  </si>
  <si>
    <t>Vitamin D total CS Elecsys</t>
  </si>
  <si>
    <t>S100 Elecsys cobas e 100</t>
  </si>
  <si>
    <t>S100 CS Elecsys</t>
  </si>
  <si>
    <t>Anti-CCP Elecsys cobas e 100</t>
  </si>
  <si>
    <t>Anti-CCP PC Elecsys</t>
  </si>
  <si>
    <t>2 x 2 ml</t>
  </si>
  <si>
    <t>Insulin Elecsys cobas e 100</t>
  </si>
  <si>
    <t>Insulin CS Elecsys</t>
  </si>
  <si>
    <t>C-Peptide Elecsys cobas e 100</t>
  </si>
  <si>
    <t>C-Peptide CS Elecsys</t>
  </si>
  <si>
    <t>PAPP-A Elecsys cobas e 100</t>
  </si>
  <si>
    <t>PAPP-A CS Elecsys</t>
  </si>
  <si>
    <t>Free HCGbeta Elecsys cobas e 100</t>
  </si>
  <si>
    <t>Free HCGbeta CS Elecsys</t>
  </si>
  <si>
    <t>PreciControl MC Elecsys</t>
  </si>
  <si>
    <t>6 x 2 ml</t>
  </si>
  <si>
    <t>PLGF Elecsys cobas e 100</t>
  </si>
  <si>
    <t>PLGF CS Elecsys</t>
  </si>
  <si>
    <t>sFLT1 Elecsys cobas e 100</t>
  </si>
  <si>
    <t>sFLT1 CS Elecsys</t>
  </si>
  <si>
    <t>Universal Diluent 2x16ml Elecsys,cobas e</t>
  </si>
  <si>
    <t>2 x 16 ml</t>
  </si>
  <si>
    <t>Diluent MultiAssay Elecsys,cobas e</t>
  </si>
  <si>
    <t>2 x 18 ml</t>
  </si>
  <si>
    <t>PreciControl Universal Elecsys V2</t>
  </si>
  <si>
    <t>PreciControl TM Elecsys</t>
  </si>
  <si>
    <t>4 x 3 ml</t>
  </si>
  <si>
    <t>Troponin PC Elecsys</t>
  </si>
  <si>
    <t>PreciControl Cardiac G2 Elecsys V4</t>
  </si>
  <si>
    <t>PreciControl Multimarker Elecsys</t>
  </si>
  <si>
    <t>6x2ml</t>
  </si>
  <si>
    <t>PreciControl Varia Elecsys</t>
  </si>
  <si>
    <t>ISE cleaning solution Sys Clean</t>
  </si>
  <si>
    <t>5x100 ml</t>
  </si>
  <si>
    <t>ProCell M 2x2 L Elecsys,cobas e</t>
  </si>
  <si>
    <t>2x2 L</t>
  </si>
  <si>
    <t>CleanCell M 2x2 L Elecsys,cobas e</t>
  </si>
  <si>
    <t>PreClean M Elecsys,cobas e</t>
  </si>
  <si>
    <t>5 x 600 ml</t>
  </si>
  <si>
    <t>Probe Wash M Elecsys,cobas e</t>
  </si>
  <si>
    <t>12x70 ml</t>
  </si>
  <si>
    <t>Assay Tip/Cup Elecsys ModularE170</t>
  </si>
  <si>
    <t>48x2x84 tips/cups and 8 waste liners</t>
  </si>
  <si>
    <t xml:space="preserve">MEASURING CELL WITH REF. ELECT. 
V7.0. </t>
  </si>
  <si>
    <t>1 pc</t>
  </si>
  <si>
    <t>HSX-Roche;NSX- Nhật Bản</t>
  </si>
  <si>
    <t>LÔ HÀNG SỐ    24    : VTHC MÁY QIACUB    -   QIAGEN  - DÙNG CHO KHOA VI SINH</t>
  </si>
  <si>
    <t>artus HBV QS-RGQ Kit (24) CE</t>
  </si>
  <si>
    <t>Hộp 24 test</t>
  </si>
  <si>
    <t>Qiagen/Đức</t>
  </si>
  <si>
    <t>Công ty TNHH Vật Tư Khoa học Nam Việt</t>
  </si>
  <si>
    <t>artus HCV QS-RGQ Kit (24) CE</t>
  </si>
  <si>
    <t>artus HI-Virus-1 QS-RGQ Kit (24) CE</t>
  </si>
  <si>
    <t>artus HSV QS-RGQ Kit (24) CE</t>
  </si>
  <si>
    <t>artus CMV QS-RGQ Kit (24) CE</t>
  </si>
  <si>
    <t>artus EBV QS-RGQ Kit (24) CE</t>
  </si>
  <si>
    <t>artus CT/NG QS-RGQ Kit CE (96)</t>
  </si>
  <si>
    <t>artus BKV QS-RGQ Kit (24) CE</t>
  </si>
  <si>
    <t>artus Enterovirus LC RT-PCR Kit (24) RUO</t>
  </si>
  <si>
    <t>QIAamp DNA Mini Kit (50)</t>
  </si>
  <si>
    <t>50 test/bộ</t>
  </si>
  <si>
    <t>QIAamp Viral RNA Mini Kit (50)</t>
  </si>
  <si>
    <t>PCR Tubes, 0.2 ml  (1000)</t>
  </si>
  <si>
    <t>Túi 1000</t>
  </si>
  <si>
    <t>Strip Tubes and Caps, 0.1 ml (250)</t>
  </si>
  <si>
    <t xml:space="preserve">Túi 250x4 </t>
  </si>
  <si>
    <t>AccuPid HCV Genotyping Kit</t>
  </si>
  <si>
    <t>Hộp 50 test</t>
  </si>
  <si>
    <t>Khoa Thương /Việt Nam</t>
  </si>
  <si>
    <t>AccuPid Dengue Detection Kit</t>
  </si>
  <si>
    <t>AccuPid M. tuberculosis Detection Kit</t>
  </si>
  <si>
    <t>AccuPid  HR-HPV Genotyping Kit</t>
  </si>
  <si>
    <t>LightPower iVAHBV LamR rPCR Kit</t>
  </si>
  <si>
    <t>Việt Á /Việt Nam</t>
  </si>
  <si>
    <t>LightPower iVAHBV AdeR rPCR Kit</t>
  </si>
  <si>
    <t>SPUTA PREP LJ</t>
  </si>
  <si>
    <t>Nam Khoa /Việt Nam</t>
  </si>
  <si>
    <t>Hộp đầu típ 10µl không lọc, đã tiệt trùng</t>
  </si>
  <si>
    <t>Hộp 960 típ</t>
  </si>
  <si>
    <t>QSP/Mỹ</t>
  </si>
  <si>
    <t>Hộp đầu típ 200µl không lọc, đã tiệt trùng</t>
  </si>
  <si>
    <t>AHN/Đức</t>
  </si>
  <si>
    <t>Hộp đầu típ 1000 - 1250µl không lọc, đã tiệt trùng</t>
  </si>
  <si>
    <t>Hộp đầu típ 10µl có lọc, đã tiệt trùng</t>
  </si>
  <si>
    <t>Hộp đầu típ 200µl có lọc, đã tiệt trùng</t>
  </si>
  <si>
    <t>Hộp đầu típ 1000 - 1250µl có lọc, đã tiệt trùng</t>
  </si>
  <si>
    <t>Ống Falcon 50ml tiệt trùng</t>
  </si>
  <si>
    <t>Thùng
 (25 cái)</t>
  </si>
  <si>
    <t>Ống ly tâm 1.5 - 1.7ml</t>
  </si>
  <si>
    <t>Túi 
(500 cái)</t>
  </si>
  <si>
    <t>Ống ly tâm 2.0ml</t>
  </si>
  <si>
    <t>Giấy cuộn Parafilm</t>
  </si>
  <si>
    <t>Parafilm/Mỹ</t>
  </si>
  <si>
    <t>Nước PCR</t>
  </si>
  <si>
    <t>Chai 1L</t>
  </si>
  <si>
    <t>IDT/Mỹ</t>
  </si>
  <si>
    <t>Găng tay không bột</t>
  </si>
  <si>
    <t>Hộp 50 đôi</t>
  </si>
  <si>
    <t>Vglove/Việt Nam</t>
  </si>
  <si>
    <t>Pipette pastuer 2ml</t>
  </si>
  <si>
    <t>Katell/Ý</t>
  </si>
  <si>
    <t>Giấy lau không bụi Kimwipe</t>
  </si>
  <si>
    <t xml:space="preserve">Hộp </t>
  </si>
  <si>
    <t>Kimberly /Nhật Bản</t>
  </si>
  <si>
    <t>CỘNG TỔNG</t>
  </si>
  <si>
    <t>LÔ HÀNG SỐ 25: ELISA  - DÙNG CHO KHOA HUYẾT HỌC</t>
  </si>
  <si>
    <t>BioTracer HBsAg (Cassette)</t>
  </si>
  <si>
    <t>30test/hộp</t>
  </si>
  <si>
    <t>Bio Focus/Hàn Quốc</t>
  </si>
  <si>
    <t>Công ty Cổ Phần Thương Mại Thiên Lương</t>
  </si>
  <si>
    <t>BioTracer HIV 1/2(Cassette)</t>
  </si>
  <si>
    <t>BioTracer HCV (Cassette)</t>
  </si>
  <si>
    <t>BioTracer Anti Hbs (Cassette)</t>
  </si>
  <si>
    <t>Anti-Histone</t>
  </si>
  <si>
    <t>96test/hộp</t>
  </si>
  <si>
    <t>Orgentec/Đức</t>
  </si>
  <si>
    <t>Anti-SS-A</t>
  </si>
  <si>
    <t>Anti-SS-B</t>
  </si>
  <si>
    <t>Anti-Sm</t>
  </si>
  <si>
    <t>Anti-Scl-70</t>
  </si>
  <si>
    <t>Anti-Jo-1</t>
  </si>
  <si>
    <t>ANA Detect</t>
  </si>
  <si>
    <t>Anti-ds DNA Screen</t>
  </si>
  <si>
    <t>LÔ HÀNG SỐ   26     DANH MỤC HÓA CHẤT MÁY LIAISON XL</t>
  </si>
  <si>
    <t>LIAISON® Brahms PCT II Gen</t>
  </si>
  <si>
    <t>Diasorin/Ý</t>
  </si>
  <si>
    <t xml:space="preserve">LIAISON® Control Brahms PCT II Gen </t>
  </si>
  <si>
    <t>2 x 2 x 1.1 ml + dil</t>
  </si>
  <si>
    <t>LIAISON® TSH</t>
  </si>
  <si>
    <t>LIAISON® T3</t>
  </si>
  <si>
    <t>LIAISON® T4</t>
  </si>
  <si>
    <t>LIAISON® FT3</t>
  </si>
  <si>
    <t>LIAISON® FT4</t>
  </si>
  <si>
    <t>LIAISON® Control Thyroid 1</t>
  </si>
  <si>
    <t>4 x 5 ml</t>
  </si>
  <si>
    <t>LIAISON® Control Thyroid 2</t>
  </si>
  <si>
    <t>LIAISON® Control Thyroid 3</t>
  </si>
  <si>
    <t>LIAISON® Anti-TPO</t>
  </si>
  <si>
    <t>LIAISON® Control Anti-TPO</t>
  </si>
  <si>
    <t>LIAISON® Anti-Tg</t>
  </si>
  <si>
    <t>LIAISON® Control anti-Tg</t>
  </si>
  <si>
    <t>LIAISON® Tg</t>
  </si>
  <si>
    <t>LIAISON® Control Tg</t>
  </si>
  <si>
    <t xml:space="preserve">LIAISON® Calcitonin II-Gen </t>
  </si>
  <si>
    <t>Diasorin/Mỹ</t>
  </si>
  <si>
    <t>LIAISON® Calcitonin II-Gen Control Set</t>
  </si>
  <si>
    <t>8 x 2 ml</t>
  </si>
  <si>
    <t xml:space="preserve">LIAISON® Calcitonin II-Gen Specimen Diluent </t>
  </si>
  <si>
    <t>LIAISON® Thymidine Kinase</t>
  </si>
  <si>
    <t>LIAISON® Thymidine Kinase Control Set</t>
  </si>
  <si>
    <t>2 x 4 x 2 ml</t>
  </si>
  <si>
    <t xml:space="preserve">LIAISON® Specimen Diluent Thymidine Kinase set </t>
  </si>
  <si>
    <t>LIAISON® TPA-M</t>
  </si>
  <si>
    <t>LIAISON® Control TPA</t>
  </si>
  <si>
    <t>2 x 2 x 1,8 ml</t>
  </si>
  <si>
    <t>LIAISON® CA 19-9</t>
  </si>
  <si>
    <t>LIAISON® CA 125 II</t>
  </si>
  <si>
    <t>LIAISON® CA 15-3</t>
  </si>
  <si>
    <t>LIAISON® CEA</t>
  </si>
  <si>
    <t>LIAISON® Multi-Control Tumours Markers</t>
  </si>
  <si>
    <t>2 x 2 x 3 ml</t>
  </si>
  <si>
    <t>LIAISON® AFP</t>
  </si>
  <si>
    <t>LIAISON® PSA</t>
  </si>
  <si>
    <t>Diasorin/Đức</t>
  </si>
  <si>
    <t>LIAISON® Control PSA</t>
  </si>
  <si>
    <t>LIAISON® FPSA</t>
  </si>
  <si>
    <t>LIAISON® Control fPSA</t>
  </si>
  <si>
    <t>LIAISON® B-2-Microglobulin</t>
  </si>
  <si>
    <t>LIAISON® NSE</t>
  </si>
  <si>
    <t>LIAISON® Control NSE</t>
  </si>
  <si>
    <t>LIAISON® S100</t>
  </si>
  <si>
    <t>LIAISON® S100 Cal (low/high)</t>
  </si>
  <si>
    <t>LIAISON® Control S100</t>
  </si>
  <si>
    <t>LIAISON® Testosterone</t>
  </si>
  <si>
    <t>LIAISON® Testosterone control set</t>
  </si>
  <si>
    <t>LIAISON® Estradiol II Gen</t>
  </si>
  <si>
    <t>LIAISON® Estradiol II Gen control set</t>
  </si>
  <si>
    <t>LIAISON® Progesterone II Gen</t>
  </si>
  <si>
    <t>LIAISON® Progesterone II Gen control set</t>
  </si>
  <si>
    <t>LIAISON® LH</t>
  </si>
  <si>
    <t>LIAISON® FSH</t>
  </si>
  <si>
    <t>LIAISON®XL HCG</t>
  </si>
  <si>
    <t>LIAISON® Insulin</t>
  </si>
  <si>
    <t xml:space="preserve">LIAISON®Control Insulin </t>
  </si>
  <si>
    <t>4 x 4.5 ml</t>
  </si>
  <si>
    <t>LIAISON® Cortisol</t>
  </si>
  <si>
    <t>LIAISON® C-Peptid</t>
  </si>
  <si>
    <t>LIAISON® Wash/System liquid</t>
  </si>
  <si>
    <t>6 x1 lit/box</t>
  </si>
  <si>
    <t>LIAISON® Light Check 12</t>
  </si>
  <si>
    <t>12 x 2 ml</t>
  </si>
  <si>
    <t>LIAISON® XL Cleaning Kit</t>
  </si>
  <si>
    <t>10 vials (NaClo)+
2 integrals (wash solution)</t>
  </si>
  <si>
    <t xml:space="preserve">LIAISON® XL Starter kit </t>
  </si>
  <si>
    <t>3.000 shot/box</t>
  </si>
  <si>
    <t>LIAISON® XL Disposal Tips</t>
  </si>
  <si>
    <t>6.912 tips/box</t>
  </si>
  <si>
    <t xml:space="preserve">LIAISON® XL Cuvettes </t>
  </si>
  <si>
    <t>7.200 cuvettes/box</t>
  </si>
  <si>
    <t>LÔ HÀNG SỐ   27     DANH MỤC HÓA CHẤT DÙNG CHO MÁY CHẠY THẬN NHÂN TẠO NIKISO DBB</t>
  </si>
  <si>
    <t>Dây truyền máu thận (sử dụng 6 lần/bộ)</t>
  </si>
  <si>
    <t>32 bộ/thùng</t>
  </si>
  <si>
    <t>Fresenius/ Trung Quốc</t>
  </si>
  <si>
    <t>Liên danh Công ty TNHH Đầu tư Huy Phương và Công ty CP thiết bị y tế Vĩnh Phúc</t>
  </si>
  <si>
    <t>Kim chạy thận 16 G</t>
  </si>
  <si>
    <t>500 cái/thùng</t>
  </si>
  <si>
    <r>
      <t>Fresenius</t>
    </r>
    <r>
      <rPr>
        <sz val="10"/>
        <color indexed="8"/>
        <rFont val="Times New Roman"/>
        <family val="1"/>
      </rPr>
      <t>/ Thái Lan</t>
    </r>
  </si>
  <si>
    <t>Bột khô đậm đặc chạy thận nhân tạo Granudial AF13(5 túi / thùng)</t>
  </si>
  <si>
    <t>20ca/thùng(5lít/ca)</t>
  </si>
  <si>
    <t>Fresenius/ Pháp</t>
  </si>
  <si>
    <t>Bột khô đậm đặc chạy thận nhân tạo Granudial BI 84(4 túi /thùng)</t>
  </si>
  <si>
    <t>80ca/thùng(5lít/ca)</t>
  </si>
  <si>
    <t xml:space="preserve">Dung dịch sát trùng máy Hemoclean </t>
  </si>
  <si>
    <t>2 can/ thùng (5 lít/can)</t>
  </si>
  <si>
    <t>lit</t>
  </si>
  <si>
    <t>Huniz,Ltd/ Hàn Quốc</t>
  </si>
  <si>
    <t>Dung dịch sát trùng quả lọc Hemoclean RP</t>
  </si>
  <si>
    <t>Màng Low-Flux (Quả lọc máu F6HPS)</t>
  </si>
  <si>
    <t>Quả</t>
  </si>
  <si>
    <t>Fresenius/ Đức</t>
  </si>
  <si>
    <t>Màng lọc FX-Class (Quả lọc máu FX8)</t>
  </si>
  <si>
    <t>20 quả/thùng</t>
  </si>
  <si>
    <t>LÔ HÀNG SỐ  28 : PHIM KHÔ X QUANG DÙNG CHO MÁY  IN CARESTREAM</t>
  </si>
  <si>
    <t xml:space="preserve">Phim Carestream 14*17 </t>
  </si>
  <si>
    <t>125 tờ/Hộp</t>
  </si>
  <si>
    <t>Carestream/ Mỹ</t>
  </si>
  <si>
    <t>Phim Carestream 10*12</t>
  </si>
  <si>
    <t>125tờ/Hộp</t>
  </si>
  <si>
    <t>Phim Carestream 8*10</t>
  </si>
  <si>
    <t>TỔNG CỘNG  26  LÔ HÀNG</t>
  </si>
  <si>
    <t xml:space="preserve">Số tiền bằng chữ: Một trăm hai mươi ba tỷ hai trăm mười bảy triệu chín trăm năm mươi lăm ngàn ba trăm sáu mươi đồng </t>
  </si>
  <si>
    <t>% còn lại</t>
  </si>
  <si>
    <t>Số còn lại</t>
  </si>
  <si>
    <t>tháng 8</t>
  </si>
  <si>
    <t>tháng 9</t>
  </si>
  <si>
    <t>tháng 10</t>
  </si>
  <si>
    <t>tháng 11</t>
  </si>
  <si>
    <t>tháng 12</t>
  </si>
  <si>
    <t>tháng 1</t>
  </si>
  <si>
    <t>tháng 2</t>
  </si>
  <si>
    <t>tháng 3</t>
  </si>
  <si>
    <t>tháng 4</t>
  </si>
  <si>
    <t>tháng 5</t>
  </si>
  <si>
    <t>tháng 6</t>
  </si>
  <si>
    <t>tháng 7</t>
  </si>
  <si>
    <t>Số lượng còn lại</t>
  </si>
  <si>
    <t>Tháng 8</t>
  </si>
  <si>
    <t>Tháng 9</t>
  </si>
  <si>
    <t>Tháng 10</t>
  </si>
  <si>
    <t>Tháng 11</t>
  </si>
  <si>
    <t>Tháng 12</t>
  </si>
  <si>
    <t>Tháng 1</t>
  </si>
  <si>
    <t>Tháng 2</t>
  </si>
  <si>
    <t>Tháng 3</t>
  </si>
  <si>
    <t>Tháng 4</t>
  </si>
  <si>
    <t>Tháng 5</t>
  </si>
  <si>
    <t>Tháng 6</t>
  </si>
  <si>
    <t>Tháng 7</t>
  </si>
  <si>
    <t>Năm 2016</t>
  </si>
  <si>
    <t>Năm 2017</t>
  </si>
</sst>
</file>

<file path=xl/styles.xml><?xml version="1.0" encoding="utf-8"?>
<styleSheet xmlns="http://schemas.openxmlformats.org/spreadsheetml/2006/main">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 _₫_-;\-* #,##0\ _₫_-;_-* &quot;-&quot;??\ _₫_-;_-@_-"/>
    <numFmt numFmtId="167" formatCode="_-* #,##0\ _$_-;\-* #,##0\ _$_-;_-* &quot;-&quot;??\ _$_-;_-@_-"/>
    <numFmt numFmtId="168" formatCode="_(* #,##0_);_(* \(#,##0\);_(* &quot;-&quot;?_);_(@_)"/>
    <numFmt numFmtId="169" formatCode="_(* #,##0_);_(* \(#,##0\);_(* &quot;-&quot;&quot;?&quot;&quot;?&quot;_);_(@_)"/>
    <numFmt numFmtId="170" formatCode="#,##0;[Red]#,##0"/>
    <numFmt numFmtId="171" formatCode="_-* #,##0_-;\-* #,##0_-;_-* &quot;-&quot;??_-;_-@_-"/>
    <numFmt numFmtId="172" formatCode="0;[Red]0"/>
    <numFmt numFmtId="173" formatCode="_-* #,##0\ _₫_-;\-* #,##0\ _₫_-;_-* &quot;-&quot;\ _₫_-;_-@_-"/>
    <numFmt numFmtId="174" formatCode="_([$€-2]\ * #,##0_);_([$€-2]\ * \(#,##0\);_([$€-2]\ * &quot;-&quot;??_);_(@_)"/>
  </numFmts>
  <fonts count="86">
    <font>
      <sz val="11"/>
      <color theme="1"/>
      <name val="Calibri"/>
      <family val="2"/>
      <scheme val="minor"/>
    </font>
    <font>
      <sz val="11"/>
      <color theme="1"/>
      <name val="Calibri"/>
      <family val="2"/>
      <scheme val="minor"/>
    </font>
    <font>
      <b/>
      <sz val="11"/>
      <color theme="1"/>
      <name val="Calibri"/>
      <family val="2"/>
      <scheme val="minor"/>
    </font>
    <font>
      <sz val="8"/>
      <color theme="1"/>
      <name val="Times New Roman"/>
      <family val="1"/>
    </font>
    <font>
      <b/>
      <sz val="8"/>
      <color theme="1"/>
      <name val="Times New Roman"/>
      <family val="1"/>
    </font>
    <font>
      <b/>
      <sz val="8"/>
      <color rgb="FFFF0000"/>
      <name val="Times New Roman"/>
      <family val="1"/>
    </font>
    <font>
      <sz val="7"/>
      <color theme="1"/>
      <name val="Arial"/>
      <family val="2"/>
    </font>
    <font>
      <b/>
      <sz val="7"/>
      <color theme="1"/>
      <name val="Arial"/>
      <family val="2"/>
    </font>
    <font>
      <sz val="7"/>
      <name val="Arial"/>
      <family val="2"/>
    </font>
    <font>
      <sz val="7"/>
      <color indexed="8"/>
      <name val="Arial"/>
      <family val="2"/>
    </font>
    <font>
      <i/>
      <sz val="7"/>
      <name val="Arial"/>
      <family val="2"/>
    </font>
    <font>
      <sz val="11"/>
      <color indexed="8"/>
      <name val="Times New Roman"/>
      <family val="2"/>
    </font>
    <font>
      <sz val="11"/>
      <color theme="1"/>
      <name val="Times New Roman"/>
      <family val="2"/>
    </font>
    <font>
      <sz val="10"/>
      <name val="Arial"/>
      <family val="2"/>
    </font>
    <font>
      <i/>
      <sz val="7"/>
      <color theme="1"/>
      <name val="Arial"/>
      <family val="2"/>
    </font>
    <font>
      <sz val="10"/>
      <name val="Helv"/>
      <family val="2"/>
    </font>
    <font>
      <sz val="10"/>
      <name val="Arial"/>
      <family val="2"/>
      <charset val="163"/>
    </font>
    <font>
      <sz val="12"/>
      <name val=".VnArial Narrow"/>
      <family val="2"/>
    </font>
    <font>
      <sz val="11"/>
      <color theme="1"/>
      <name val="Calibri"/>
      <family val="2"/>
      <charset val="163"/>
      <scheme val="minor"/>
    </font>
    <font>
      <i/>
      <sz val="7"/>
      <color indexed="8"/>
      <name val="Arial"/>
      <family val="2"/>
    </font>
    <font>
      <sz val="7"/>
      <color rgb="FF000000"/>
      <name val="Arial"/>
      <family val="2"/>
    </font>
    <font>
      <b/>
      <sz val="12"/>
      <name val=".VnArial Narrow"/>
      <family val="2"/>
    </font>
    <font>
      <sz val="11"/>
      <color indexed="8"/>
      <name val="Times New Roman"/>
      <family val="1"/>
    </font>
    <font>
      <sz val="11"/>
      <name val=".VnTimeH"/>
      <family val="2"/>
    </font>
    <font>
      <sz val="10"/>
      <name val=".VnTime"/>
      <family val="2"/>
    </font>
    <font>
      <sz val="9"/>
      <name val="Times New Roman"/>
      <family val="1"/>
    </font>
    <font>
      <sz val="9"/>
      <color theme="1"/>
      <name val="Times New Roman"/>
      <family val="1"/>
    </font>
    <font>
      <sz val="9"/>
      <color indexed="8"/>
      <name val="Times New Roman"/>
      <family val="1"/>
    </font>
    <font>
      <b/>
      <sz val="9"/>
      <name val="Times New Roman"/>
      <family val="1"/>
    </font>
    <font>
      <sz val="7"/>
      <color indexed="10"/>
      <name val="Arial"/>
      <family val="2"/>
    </font>
    <font>
      <i/>
      <sz val="7"/>
      <color rgb="FFFF0000"/>
      <name val="Arial"/>
      <family val="2"/>
    </font>
    <font>
      <sz val="7"/>
      <color theme="1" tint="4.9989318521683403E-2"/>
      <name val="Arial"/>
      <family val="2"/>
    </font>
    <font>
      <vertAlign val="superscript"/>
      <sz val="7"/>
      <name val="Arial"/>
      <family val="2"/>
    </font>
    <font>
      <sz val="12"/>
      <name val="Times New Roman"/>
      <family val="1"/>
    </font>
    <font>
      <sz val="12"/>
      <color theme="1"/>
      <name val="Times New Roman"/>
      <family val="1"/>
    </font>
    <font>
      <b/>
      <sz val="7"/>
      <name val="Arial"/>
      <family val="2"/>
    </font>
    <font>
      <i/>
      <sz val="11"/>
      <color theme="1"/>
      <name val="Arial"/>
      <family val="2"/>
    </font>
    <font>
      <b/>
      <sz val="11"/>
      <color theme="1"/>
      <name val="Arial"/>
      <family val="2"/>
    </font>
    <font>
      <sz val="13"/>
      <color theme="1"/>
      <name val="Calibri"/>
      <family val="2"/>
      <scheme val="minor"/>
    </font>
    <font>
      <b/>
      <sz val="13"/>
      <color theme="1"/>
      <name val="Calibri"/>
      <family val="2"/>
      <scheme val="minor"/>
    </font>
    <font>
      <sz val="13"/>
      <name val="Times New Roman"/>
      <family val="1"/>
    </font>
    <font>
      <sz val="9"/>
      <color theme="1"/>
      <name val="Calibri"/>
      <family val="2"/>
      <scheme val="minor"/>
    </font>
    <font>
      <sz val="7"/>
      <color theme="1"/>
      <name val="Calibri"/>
      <family val="2"/>
      <scheme val="minor"/>
    </font>
    <font>
      <b/>
      <sz val="7"/>
      <color theme="1"/>
      <name val="Calibri"/>
      <family val="2"/>
      <scheme val="minor"/>
    </font>
    <font>
      <b/>
      <sz val="8"/>
      <name val="Times New Roman"/>
      <family val="1"/>
    </font>
    <font>
      <sz val="8"/>
      <name val="Times New Roman"/>
      <family val="1"/>
    </font>
    <font>
      <b/>
      <i/>
      <sz val="8"/>
      <name val="Times New Roman"/>
      <family val="1"/>
    </font>
    <font>
      <sz val="8"/>
      <color indexed="8"/>
      <name val="Times New Roman"/>
      <family val="1"/>
    </font>
    <font>
      <sz val="11"/>
      <color indexed="8"/>
      <name val="Calibri"/>
      <family val="2"/>
      <charset val="163"/>
    </font>
    <font>
      <sz val="8"/>
      <color rgb="FFFF0000"/>
      <name val="Times New Roman"/>
      <family val="1"/>
    </font>
    <font>
      <sz val="8"/>
      <color rgb="FF000000"/>
      <name val="Times New Roman"/>
      <family val="1"/>
    </font>
    <font>
      <sz val="8"/>
      <color theme="1" tint="4.9989318521683403E-2"/>
      <name val="Times New Roman"/>
      <family val="1"/>
    </font>
    <font>
      <b/>
      <i/>
      <sz val="8"/>
      <color rgb="FF000000"/>
      <name val="Times New Roman"/>
      <family val="1"/>
    </font>
    <font>
      <i/>
      <sz val="8"/>
      <color indexed="8"/>
      <name val="Times New Roman"/>
      <family val="1"/>
    </font>
    <font>
      <i/>
      <sz val="8"/>
      <color rgb="FFFF0000"/>
      <name val="Times New Roman"/>
      <family val="1"/>
    </font>
    <font>
      <sz val="7"/>
      <name val="Times New Roman"/>
      <family val="1"/>
    </font>
    <font>
      <sz val="7"/>
      <color indexed="8"/>
      <name val="Times New Roman"/>
      <family val="1"/>
    </font>
    <font>
      <sz val="14"/>
      <color theme="1"/>
      <name val="Times New Roman"/>
      <family val="1"/>
    </font>
    <font>
      <b/>
      <sz val="14"/>
      <color theme="1"/>
      <name val="Times New Roman"/>
      <family val="1"/>
    </font>
    <font>
      <b/>
      <sz val="14"/>
      <color rgb="FFFF0000"/>
      <name val="Times New Roman"/>
      <family val="1"/>
    </font>
    <font>
      <i/>
      <sz val="10"/>
      <color indexed="8"/>
      <name val="Times New Roman"/>
      <family val="1"/>
    </font>
    <font>
      <b/>
      <sz val="10"/>
      <name val="Arial"/>
      <family val="2"/>
    </font>
    <font>
      <sz val="10"/>
      <name val="Times New Roman"/>
      <family val="1"/>
    </font>
    <font>
      <b/>
      <sz val="7"/>
      <name val="Times New Roman"/>
      <family val="1"/>
    </font>
    <font>
      <b/>
      <sz val="7"/>
      <color indexed="8"/>
      <name val="Times New Roman"/>
      <family val="1"/>
    </font>
    <font>
      <sz val="10"/>
      <color indexed="8"/>
      <name val="Times New Roman"/>
      <family val="1"/>
    </font>
    <font>
      <u/>
      <sz val="12"/>
      <color indexed="36"/>
      <name val=".VnArial Narrow"/>
      <family val="2"/>
    </font>
    <font>
      <sz val="14"/>
      <name val="Times New Roman"/>
      <family val="1"/>
    </font>
    <font>
      <sz val="7"/>
      <name val=".VnTime"/>
      <family val="2"/>
    </font>
    <font>
      <sz val="7"/>
      <name val="Calibri"/>
      <family val="2"/>
    </font>
    <font>
      <sz val="7"/>
      <color theme="1"/>
      <name val="Times New Roman"/>
      <family val="1"/>
    </font>
    <font>
      <sz val="10"/>
      <name val="Arial Narrow"/>
      <family val="2"/>
    </font>
    <font>
      <sz val="9"/>
      <name val="Arial"/>
      <family val="2"/>
    </font>
    <font>
      <sz val="11"/>
      <color indexed="8"/>
      <name val="Calibri"/>
      <family val="2"/>
    </font>
    <font>
      <sz val="14"/>
      <color indexed="8"/>
      <name val="Times New Roman"/>
      <family val="2"/>
    </font>
    <font>
      <sz val="11"/>
      <name val="Arial"/>
      <family val="2"/>
    </font>
    <font>
      <sz val="14"/>
      <color indexed="8"/>
      <name val="Times New Roman"/>
      <family val="1"/>
    </font>
    <font>
      <sz val="7"/>
      <name val="Arial"/>
      <family val="2"/>
      <charset val="163"/>
    </font>
    <font>
      <b/>
      <sz val="10"/>
      <color indexed="8"/>
      <name val="Times New Roman"/>
      <family val="1"/>
    </font>
    <font>
      <b/>
      <sz val="10"/>
      <color indexed="10"/>
      <name val="Times New Roman"/>
      <family val="1"/>
    </font>
    <font>
      <b/>
      <sz val="10"/>
      <name val="Times New Roman"/>
      <family val="1"/>
    </font>
    <font>
      <b/>
      <i/>
      <sz val="10"/>
      <color indexed="10"/>
      <name val="Times New Roman"/>
      <family val="1"/>
    </font>
    <font>
      <b/>
      <i/>
      <sz val="11"/>
      <color theme="1"/>
      <name val="Arial"/>
      <family val="2"/>
    </font>
    <font>
      <b/>
      <sz val="7"/>
      <color rgb="FFFF0000"/>
      <name val="Arial"/>
      <family val="2"/>
    </font>
    <font>
      <b/>
      <sz val="7"/>
      <color rgb="FF000000"/>
      <name val="Arial"/>
      <family val="2"/>
    </font>
    <font>
      <b/>
      <sz val="7"/>
      <color indexed="8"/>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65"/>
        <bgColor indexed="64"/>
      </patternFill>
    </fill>
    <fill>
      <patternFill patternType="solid">
        <fgColor rgb="FFFFFFFF"/>
        <bgColor indexed="64"/>
      </patternFill>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diagonal/>
    </border>
  </borders>
  <cellStyleXfs count="47">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11" fillId="0" borderId="0"/>
    <xf numFmtId="0" fontId="12" fillId="0" borderId="0"/>
    <xf numFmtId="0" fontId="11" fillId="0" borderId="0"/>
    <xf numFmtId="0" fontId="13" fillId="0" borderId="0"/>
    <xf numFmtId="0" fontId="15" fillId="0" borderId="0"/>
    <xf numFmtId="0" fontId="16" fillId="0" borderId="0"/>
    <xf numFmtId="0" fontId="16"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3" fillId="0" borderId="0"/>
    <xf numFmtId="0" fontId="21" fillId="0" borderId="0"/>
    <xf numFmtId="164" fontId="13" fillId="0" borderId="0" applyFont="0" applyFill="0" applyBorder="0" applyAlignment="0" applyProtection="0"/>
    <xf numFmtId="0" fontId="1" fillId="0" borderId="0"/>
    <xf numFmtId="0" fontId="13" fillId="0" borderId="0"/>
    <xf numFmtId="0" fontId="13" fillId="0" borderId="0">
      <alignment vertical="top"/>
    </xf>
    <xf numFmtId="0" fontId="18" fillId="0" borderId="0"/>
    <xf numFmtId="0" fontId="16" fillId="0" borderId="0"/>
    <xf numFmtId="0" fontId="23" fillId="0" borderId="0" applyFill="0"/>
    <xf numFmtId="43" fontId="24" fillId="0" borderId="0" applyFont="0" applyFill="0" applyBorder="0" applyAlignment="0" applyProtection="0"/>
    <xf numFmtId="0" fontId="13" fillId="0" borderId="0">
      <alignment vertical="top"/>
    </xf>
    <xf numFmtId="0" fontId="13" fillId="0" borderId="0"/>
    <xf numFmtId="0" fontId="21" fillId="0" borderId="0"/>
    <xf numFmtId="0" fontId="48" fillId="0" borderId="0"/>
    <xf numFmtId="0" fontId="66" fillId="0" borderId="0"/>
    <xf numFmtId="0" fontId="66" fillId="0" borderId="0"/>
    <xf numFmtId="0" fontId="66" fillId="0" borderId="0"/>
    <xf numFmtId="0" fontId="71" fillId="0" borderId="0"/>
    <xf numFmtId="0" fontId="71" fillId="0" borderId="0"/>
    <xf numFmtId="0" fontId="73" fillId="0" borderId="0"/>
    <xf numFmtId="43" fontId="73" fillId="0" borderId="0" applyFont="0" applyFill="0" applyBorder="0" applyAlignment="0" applyProtection="0"/>
    <xf numFmtId="0" fontId="74" fillId="0" borderId="0"/>
    <xf numFmtId="0" fontId="75" fillId="0" borderId="0"/>
    <xf numFmtId="0" fontId="16" fillId="0" borderId="0"/>
    <xf numFmtId="0" fontId="13" fillId="0" borderId="0"/>
    <xf numFmtId="0" fontId="21" fillId="0" borderId="0"/>
    <xf numFmtId="43" fontId="13" fillId="0" borderId="0" applyFont="0" applyFill="0" applyBorder="0" applyAlignment="0" applyProtection="0"/>
    <xf numFmtId="0" fontId="21" fillId="0" borderId="0"/>
  </cellStyleXfs>
  <cellXfs count="2354">
    <xf numFmtId="0" fontId="0" fillId="0" borderId="0" xfId="0"/>
    <xf numFmtId="0" fontId="3" fillId="2" borderId="0" xfId="0" applyFont="1" applyFill="1" applyAlignment="1">
      <alignment vertical="center" wrapText="1"/>
    </xf>
    <xf numFmtId="0" fontId="3" fillId="2" borderId="0" xfId="0" applyFont="1" applyFill="1"/>
    <xf numFmtId="0" fontId="6" fillId="0" borderId="0" xfId="0" applyFont="1" applyFill="1"/>
    <xf numFmtId="0" fontId="6" fillId="0" borderId="0" xfId="0" applyFont="1" applyFill="1" applyAlignment="1">
      <alignment horizontal="left"/>
    </xf>
    <xf numFmtId="164" fontId="6" fillId="0" borderId="0" xfId="1" applyNumberFormat="1" applyFont="1" applyFill="1"/>
    <xf numFmtId="0" fontId="7" fillId="0" borderId="0" xfId="0" applyFont="1" applyFill="1" applyAlignment="1">
      <alignment vertical="center" wrapText="1"/>
    </xf>
    <xf numFmtId="0" fontId="6" fillId="0" borderId="0" xfId="0" applyFont="1" applyFill="1" applyAlignment="1">
      <alignment vertical="center" wrapText="1"/>
    </xf>
    <xf numFmtId="164" fontId="6" fillId="0" borderId="0" xfId="1" applyNumberFormat="1" applyFont="1" applyFill="1" applyAlignment="1">
      <alignment horizontal="left"/>
    </xf>
    <xf numFmtId="0" fontId="6" fillId="0" borderId="2" xfId="0" applyFont="1" applyFill="1" applyBorder="1" applyAlignment="1">
      <alignment horizontal="center"/>
    </xf>
    <xf numFmtId="0" fontId="8" fillId="0" borderId="0" xfId="0" applyFont="1" applyFill="1" applyBorder="1" applyAlignment="1">
      <alignment vertical="center" wrapText="1"/>
    </xf>
    <xf numFmtId="164" fontId="6" fillId="0" borderId="0" xfId="1" applyNumberFormat="1" applyFont="1" applyFill="1" applyAlignment="1">
      <alignment horizontal="center"/>
    </xf>
    <xf numFmtId="0" fontId="6" fillId="0" borderId="0" xfId="0" applyFont="1" applyFill="1" applyAlignment="1">
      <alignment horizontal="center"/>
    </xf>
    <xf numFmtId="164" fontId="8" fillId="0" borderId="2" xfId="1" applyNumberFormat="1" applyFont="1" applyBorder="1" applyAlignment="1">
      <alignment horizontal="center" vertical="center" wrapText="1"/>
    </xf>
    <xf numFmtId="0" fontId="8" fillId="0" borderId="2" xfId="0" applyFont="1" applyFill="1" applyBorder="1" applyAlignment="1">
      <alignment horizontal="center" vertical="center" wrapText="1"/>
    </xf>
    <xf numFmtId="164" fontId="8" fillId="0" borderId="0" xfId="1" applyNumberFormat="1" applyFont="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center" vertical="top" wrapText="1"/>
    </xf>
    <xf numFmtId="0" fontId="8" fillId="0" borderId="2" xfId="0" applyFont="1" applyBorder="1" applyAlignment="1">
      <alignment horizontal="left" vertical="top" wrapText="1"/>
    </xf>
    <xf numFmtId="0" fontId="8" fillId="0" borderId="2" xfId="0" applyFont="1" applyFill="1" applyBorder="1" applyAlignment="1">
      <alignment horizontal="center" vertical="top" wrapText="1"/>
    </xf>
    <xf numFmtId="164" fontId="8" fillId="0" borderId="2" xfId="1" applyNumberFormat="1" applyFont="1" applyBorder="1" applyAlignment="1">
      <alignment horizontal="center" vertical="top" wrapText="1"/>
    </xf>
    <xf numFmtId="0" fontId="8" fillId="0" borderId="2" xfId="0" applyFont="1" applyBorder="1" applyAlignment="1">
      <alignment vertical="center" wrapText="1"/>
    </xf>
    <xf numFmtId="0" fontId="8" fillId="0" borderId="0" xfId="0" applyFont="1" applyBorder="1" applyAlignment="1">
      <alignment vertical="center" wrapText="1"/>
    </xf>
    <xf numFmtId="164" fontId="8" fillId="0" borderId="0" xfId="1" applyNumberFormat="1" applyFont="1" applyAlignment="1">
      <alignment horizontal="center"/>
    </xf>
    <xf numFmtId="0" fontId="8" fillId="0" borderId="0" xfId="0" applyFont="1" applyAlignment="1">
      <alignment horizontal="center"/>
    </xf>
    <xf numFmtId="0" fontId="8" fillId="0" borderId="4" xfId="0" applyFont="1" applyBorder="1" applyAlignment="1">
      <alignment horizontal="center" vertical="center"/>
    </xf>
    <xf numFmtId="0" fontId="8" fillId="0" borderId="4" xfId="0" applyFont="1" applyBorder="1" applyAlignment="1">
      <alignment horizontal="left" vertical="center" wrapText="1"/>
    </xf>
    <xf numFmtId="0" fontId="8" fillId="0" borderId="4" xfId="0" applyFont="1" applyBorder="1" applyAlignment="1">
      <alignment horizontal="left" vertical="center"/>
    </xf>
    <xf numFmtId="164" fontId="8" fillId="0" borderId="4" xfId="1" applyNumberFormat="1" applyFont="1" applyBorder="1" applyAlignment="1">
      <alignment horizontal="center" vertical="center" wrapText="1"/>
    </xf>
    <xf numFmtId="164" fontId="8" fillId="0" borderId="4" xfId="1" applyNumberFormat="1" applyFont="1" applyBorder="1" applyAlignment="1">
      <alignment horizontal="left" vertical="center" wrapText="1"/>
    </xf>
    <xf numFmtId="164" fontId="8" fillId="0" borderId="4" xfId="1" applyNumberFormat="1" applyFont="1" applyBorder="1" applyAlignment="1">
      <alignment horizontal="center" vertical="center"/>
    </xf>
    <xf numFmtId="164" fontId="9" fillId="3" borderId="5" xfId="1" applyNumberFormat="1" applyFont="1" applyFill="1" applyBorder="1" applyAlignment="1">
      <alignment horizontal="center"/>
    </xf>
    <xf numFmtId="164" fontId="8" fillId="0" borderId="4" xfId="1" applyNumberFormat="1" applyFont="1" applyFill="1" applyBorder="1"/>
    <xf numFmtId="0" fontId="8" fillId="0" borderId="4" xfId="0" applyFont="1" applyFill="1" applyBorder="1" applyAlignment="1">
      <alignment horizontal="center" vertical="top" wrapText="1"/>
    </xf>
    <xf numFmtId="0" fontId="8" fillId="0" borderId="4" xfId="0" applyFont="1" applyBorder="1" applyAlignment="1">
      <alignment vertical="center" wrapText="1"/>
    </xf>
    <xf numFmtId="164" fontId="8" fillId="0" borderId="0" xfId="1" applyNumberFormat="1" applyFont="1" applyAlignment="1">
      <alignment horizontal="left" vertical="center"/>
    </xf>
    <xf numFmtId="0" fontId="8" fillId="0" borderId="0" xfId="0" applyFont="1" applyAlignment="1">
      <alignment horizontal="left" vertical="center"/>
    </xf>
    <xf numFmtId="0" fontId="8" fillId="0" borderId="6" xfId="0" applyFont="1" applyBorder="1" applyAlignment="1">
      <alignment horizontal="center" vertical="center"/>
    </xf>
    <xf numFmtId="0" fontId="8" fillId="0" borderId="6" xfId="0" applyFont="1" applyBorder="1" applyAlignment="1">
      <alignment horizontal="left" vertical="center" wrapText="1"/>
    </xf>
    <xf numFmtId="0" fontId="8" fillId="0" borderId="6" xfId="0" applyFont="1" applyBorder="1" applyAlignment="1">
      <alignment horizontal="left" vertical="center"/>
    </xf>
    <xf numFmtId="164" fontId="8" fillId="0" borderId="6" xfId="1" applyNumberFormat="1" applyFont="1" applyBorder="1" applyAlignment="1">
      <alignment horizontal="center" vertical="center" wrapText="1"/>
    </xf>
    <xf numFmtId="164" fontId="8" fillId="0" borderId="6" xfId="1" applyNumberFormat="1" applyFont="1" applyBorder="1" applyAlignment="1">
      <alignment horizontal="left" vertical="center" wrapText="1"/>
    </xf>
    <xf numFmtId="164" fontId="8" fillId="0" borderId="6" xfId="1" applyNumberFormat="1" applyFont="1" applyBorder="1" applyAlignment="1">
      <alignment horizontal="center" vertical="center"/>
    </xf>
    <xf numFmtId="164" fontId="9" fillId="3" borderId="6" xfId="1" applyNumberFormat="1" applyFont="1" applyFill="1" applyBorder="1" applyAlignment="1">
      <alignment horizontal="center"/>
    </xf>
    <xf numFmtId="164" fontId="8" fillId="0" borderId="6" xfId="1" applyNumberFormat="1" applyFont="1" applyFill="1" applyBorder="1"/>
    <xf numFmtId="0" fontId="8" fillId="0" borderId="6" xfId="0" applyFont="1" applyFill="1" applyBorder="1" applyAlignment="1">
      <alignment horizontal="center" vertical="top" wrapText="1"/>
    </xf>
    <xf numFmtId="0" fontId="8" fillId="0" borderId="6" xfId="0" applyFont="1" applyBorder="1" applyAlignment="1">
      <alignment vertical="center" wrapText="1"/>
    </xf>
    <xf numFmtId="0" fontId="8" fillId="0" borderId="7" xfId="0" applyFont="1" applyBorder="1" applyAlignment="1">
      <alignment horizontal="center" vertical="center"/>
    </xf>
    <xf numFmtId="0" fontId="8" fillId="0" borderId="7" xfId="0" applyFont="1" applyBorder="1" applyAlignment="1">
      <alignment horizontal="left" vertical="center" wrapText="1"/>
    </xf>
    <xf numFmtId="0" fontId="8" fillId="0" borderId="7" xfId="0" applyFont="1" applyBorder="1" applyAlignment="1">
      <alignment horizontal="left" vertical="center"/>
    </xf>
    <xf numFmtId="164" fontId="8" fillId="0" borderId="7" xfId="1" applyNumberFormat="1" applyFont="1" applyBorder="1" applyAlignment="1">
      <alignment horizontal="center" vertical="center" wrapText="1"/>
    </xf>
    <xf numFmtId="164" fontId="8" fillId="0" borderId="7" xfId="1" applyNumberFormat="1" applyFont="1" applyBorder="1" applyAlignment="1">
      <alignment horizontal="left" vertical="center" wrapText="1"/>
    </xf>
    <xf numFmtId="164" fontId="8" fillId="0" borderId="7" xfId="1" applyNumberFormat="1" applyFont="1" applyBorder="1" applyAlignment="1">
      <alignment horizontal="center" vertical="center"/>
    </xf>
    <xf numFmtId="164" fontId="9" fillId="3" borderId="8" xfId="1" applyNumberFormat="1" applyFont="1" applyFill="1" applyBorder="1" applyAlignment="1">
      <alignment horizontal="center"/>
    </xf>
    <xf numFmtId="164" fontId="8" fillId="0" borderId="7" xfId="1" applyNumberFormat="1" applyFont="1" applyFill="1" applyBorder="1"/>
    <xf numFmtId="0" fontId="8" fillId="0" borderId="7" xfId="0" applyFont="1" applyFill="1" applyBorder="1" applyAlignment="1">
      <alignment horizontal="center" vertical="top" wrapText="1"/>
    </xf>
    <xf numFmtId="0" fontId="8" fillId="0" borderId="7" xfId="0" applyFont="1" applyBorder="1" applyAlignment="1">
      <alignment vertical="center" wrapText="1"/>
    </xf>
    <xf numFmtId="0" fontId="8" fillId="0" borderId="2" xfId="0" applyFont="1" applyBorder="1" applyAlignment="1">
      <alignment horizontal="center" vertical="center"/>
    </xf>
    <xf numFmtId="0" fontId="8" fillId="0" borderId="2" xfId="0" applyFont="1" applyBorder="1" applyAlignment="1">
      <alignment horizontal="left"/>
    </xf>
    <xf numFmtId="0" fontId="8" fillId="0" borderId="2" xfId="0" applyFont="1" applyBorder="1"/>
    <xf numFmtId="0" fontId="8" fillId="0" borderId="2" xfId="0" applyFont="1" applyBorder="1" applyAlignment="1">
      <alignment horizontal="center"/>
    </xf>
    <xf numFmtId="164" fontId="8" fillId="0" borderId="2" xfId="1" applyNumberFormat="1" applyFont="1" applyBorder="1" applyAlignment="1">
      <alignment horizontal="center"/>
    </xf>
    <xf numFmtId="164" fontId="8" fillId="0" borderId="2" xfId="1" applyNumberFormat="1" applyFont="1" applyBorder="1"/>
    <xf numFmtId="0" fontId="8" fillId="0" borderId="2" xfId="0" applyFont="1" applyBorder="1" applyAlignment="1">
      <alignment horizontal="left" vertical="center"/>
    </xf>
    <xf numFmtId="0" fontId="8" fillId="0" borderId="2" xfId="0" applyFont="1" applyFill="1" applyBorder="1" applyAlignment="1">
      <alignment horizontal="center" vertical="center"/>
    </xf>
    <xf numFmtId="0" fontId="10" fillId="0" borderId="2" xfId="0" applyFont="1" applyBorder="1" applyAlignment="1">
      <alignment horizontal="left"/>
    </xf>
    <xf numFmtId="0" fontId="10" fillId="0" borderId="2" xfId="0" applyFont="1" applyBorder="1"/>
    <xf numFmtId="164" fontId="10" fillId="0" borderId="2" xfId="1" applyNumberFormat="1" applyFont="1" applyBorder="1"/>
    <xf numFmtId="164" fontId="8" fillId="0" borderId="0" xfId="1" applyNumberFormat="1" applyFont="1" applyBorder="1" applyAlignment="1">
      <alignment horizontal="left"/>
    </xf>
    <xf numFmtId="0" fontId="8" fillId="0" borderId="0" xfId="0" applyFont="1" applyBorder="1"/>
    <xf numFmtId="0" fontId="8" fillId="0" borderId="0" xfId="0" applyFont="1"/>
    <xf numFmtId="0" fontId="6" fillId="0" borderId="0" xfId="0" applyFont="1"/>
    <xf numFmtId="0" fontId="6" fillId="0" borderId="0" xfId="0" applyFont="1" applyAlignment="1">
      <alignment horizontal="left"/>
    </xf>
    <xf numFmtId="164" fontId="6" fillId="0" borderId="0" xfId="1" applyNumberFormat="1" applyFont="1"/>
    <xf numFmtId="0" fontId="6" fillId="0" borderId="0" xfId="0" applyFont="1" applyAlignment="1">
      <alignment vertical="center" wrapText="1"/>
    </xf>
    <xf numFmtId="164" fontId="6" fillId="0" borderId="0" xfId="1" applyNumberFormat="1" applyFont="1" applyAlignment="1">
      <alignment horizontal="left"/>
    </xf>
    <xf numFmtId="0" fontId="8" fillId="0" borderId="5" xfId="0" applyFont="1" applyBorder="1" applyAlignment="1">
      <alignment horizontal="center" vertical="center"/>
    </xf>
    <xf numFmtId="0" fontId="8" fillId="0" borderId="5" xfId="0" applyFont="1" applyBorder="1" applyAlignment="1">
      <alignment horizontal="left" vertical="center"/>
    </xf>
    <xf numFmtId="164" fontId="8" fillId="0" borderId="9" xfId="1" applyNumberFormat="1" applyFont="1" applyBorder="1" applyAlignment="1">
      <alignment horizontal="justify" vertical="center"/>
    </xf>
    <xf numFmtId="164" fontId="8" fillId="0" borderId="5" xfId="1" applyNumberFormat="1" applyFont="1" applyBorder="1" applyAlignment="1">
      <alignment horizontal="justify" vertical="center"/>
    </xf>
    <xf numFmtId="164" fontId="8" fillId="0" borderId="5" xfId="0" applyNumberFormat="1" applyFont="1" applyBorder="1" applyAlignment="1">
      <alignment vertical="center"/>
    </xf>
    <xf numFmtId="164" fontId="9" fillId="3" borderId="4" xfId="1" applyNumberFormat="1" applyFont="1" applyFill="1" applyBorder="1" applyAlignment="1">
      <alignment horizontal="center"/>
    </xf>
    <xf numFmtId="0" fontId="8" fillId="0" borderId="5" xfId="0" applyFont="1" applyBorder="1" applyAlignment="1">
      <alignment horizontal="center" vertical="center" wrapText="1"/>
    </xf>
    <xf numFmtId="164" fontId="8" fillId="0" borderId="5" xfId="1" applyNumberFormat="1" applyFont="1" applyFill="1" applyBorder="1" applyAlignment="1">
      <alignment horizontal="center"/>
    </xf>
    <xf numFmtId="0" fontId="8" fillId="0" borderId="5" xfId="0" applyFont="1" applyBorder="1" applyAlignment="1">
      <alignment vertical="center"/>
    </xf>
    <xf numFmtId="0" fontId="8" fillId="0" borderId="10" xfId="0" applyFont="1" applyBorder="1" applyAlignment="1">
      <alignment vertical="center" wrapText="1"/>
    </xf>
    <xf numFmtId="164" fontId="8" fillId="0" borderId="11" xfId="1" applyNumberFormat="1" applyFont="1" applyBorder="1" applyAlignment="1">
      <alignment horizontal="justify" vertical="center"/>
    </xf>
    <xf numFmtId="165" fontId="8" fillId="0" borderId="6" xfId="1" applyNumberFormat="1" applyFont="1" applyBorder="1" applyAlignment="1">
      <alignment horizontal="justify" vertical="center"/>
    </xf>
    <xf numFmtId="164" fontId="8" fillId="0" borderId="6" xfId="0" applyNumberFormat="1" applyFont="1" applyBorder="1" applyAlignment="1">
      <alignment vertical="center"/>
    </xf>
    <xf numFmtId="0" fontId="8" fillId="0" borderId="6" xfId="0" applyFont="1" applyBorder="1" applyAlignment="1">
      <alignment horizontal="center" vertical="center" wrapText="1"/>
    </xf>
    <xf numFmtId="164" fontId="8" fillId="0" borderId="6" xfId="1" applyNumberFormat="1" applyFont="1" applyFill="1" applyBorder="1" applyAlignment="1">
      <alignment horizontal="center"/>
    </xf>
    <xf numFmtId="0" fontId="8" fillId="0" borderId="6" xfId="0" applyFont="1" applyBorder="1" applyAlignment="1">
      <alignment vertical="center"/>
    </xf>
    <xf numFmtId="164" fontId="8" fillId="0" borderId="6" xfId="1" applyNumberFormat="1" applyFont="1" applyBorder="1" applyAlignment="1">
      <alignment horizontal="justify" vertical="center"/>
    </xf>
    <xf numFmtId="164" fontId="8" fillId="2" borderId="6" xfId="1" applyNumberFormat="1" applyFont="1" applyFill="1" applyBorder="1" applyAlignment="1">
      <alignment horizontal="center"/>
    </xf>
    <xf numFmtId="0" fontId="8" fillId="0" borderId="8" xfId="0" applyFont="1" applyBorder="1" applyAlignment="1">
      <alignment horizontal="center" vertical="center"/>
    </xf>
    <xf numFmtId="0" fontId="8" fillId="0" borderId="8" xfId="0" applyFont="1" applyBorder="1" applyAlignment="1">
      <alignment horizontal="left" vertical="center" wrapText="1"/>
    </xf>
    <xf numFmtId="164" fontId="8" fillId="0" borderId="12" xfId="1" applyNumberFormat="1" applyFont="1" applyBorder="1" applyAlignment="1">
      <alignment horizontal="justify" vertical="center"/>
    </xf>
    <xf numFmtId="164" fontId="8" fillId="0" borderId="8" xfId="1" applyNumberFormat="1" applyFont="1" applyBorder="1" applyAlignment="1">
      <alignment horizontal="justify" vertical="center"/>
    </xf>
    <xf numFmtId="164" fontId="8" fillId="0" borderId="8" xfId="0" applyNumberFormat="1" applyFont="1" applyBorder="1" applyAlignment="1">
      <alignment vertical="center"/>
    </xf>
    <xf numFmtId="164" fontId="9" fillId="3" borderId="7" xfId="1" applyNumberFormat="1" applyFont="1" applyFill="1" applyBorder="1" applyAlignment="1">
      <alignment horizontal="center"/>
    </xf>
    <xf numFmtId="0" fontId="8" fillId="0" borderId="8" xfId="0" applyFont="1" applyBorder="1" applyAlignment="1">
      <alignment horizontal="center" vertical="center" wrapText="1"/>
    </xf>
    <xf numFmtId="164" fontId="8" fillId="0" borderId="8" xfId="1" applyNumberFormat="1" applyFont="1" applyFill="1" applyBorder="1" applyAlignment="1">
      <alignment horizontal="center"/>
    </xf>
    <xf numFmtId="0" fontId="8" fillId="0" borderId="8" xfId="0" applyFont="1" applyBorder="1" applyAlignment="1">
      <alignment vertical="center"/>
    </xf>
    <xf numFmtId="164" fontId="8" fillId="0" borderId="2" xfId="1" applyNumberFormat="1" applyFont="1" applyBorder="1" applyAlignment="1">
      <alignment horizontal="justify" vertical="center"/>
    </xf>
    <xf numFmtId="164" fontId="8" fillId="0" borderId="2" xfId="0" applyNumberFormat="1" applyFont="1" applyBorder="1" applyAlignment="1">
      <alignment vertical="center"/>
    </xf>
    <xf numFmtId="0" fontId="8" fillId="0" borderId="2" xfId="0" applyFont="1" applyBorder="1" applyAlignment="1">
      <alignment vertical="center"/>
    </xf>
    <xf numFmtId="0" fontId="6" fillId="0" borderId="5" xfId="0" applyFont="1" applyBorder="1" applyAlignment="1">
      <alignment vertical="center" wrapText="1"/>
    </xf>
    <xf numFmtId="164" fontId="8" fillId="0" borderId="5" xfId="1" applyNumberFormat="1" applyFont="1" applyFill="1" applyBorder="1" applyAlignment="1">
      <alignment vertical="center" wrapText="1"/>
    </xf>
    <xf numFmtId="0" fontId="8" fillId="2" borderId="5" xfId="0" applyFont="1" applyFill="1" applyBorder="1" applyAlignment="1">
      <alignment vertical="center" wrapText="1"/>
    </xf>
    <xf numFmtId="49" fontId="8" fillId="2" borderId="5" xfId="4" applyNumberFormat="1" applyFont="1" applyFill="1" applyBorder="1" applyAlignment="1">
      <alignment vertical="center" wrapText="1"/>
    </xf>
    <xf numFmtId="3" fontId="8" fillId="2" borderId="5" xfId="0" applyNumberFormat="1" applyFont="1" applyFill="1" applyBorder="1" applyAlignment="1">
      <alignment vertical="center" wrapText="1"/>
    </xf>
    <xf numFmtId="164" fontId="8" fillId="2" borderId="5" xfId="0" applyNumberFormat="1" applyFont="1" applyFill="1" applyBorder="1" applyAlignment="1">
      <alignment vertical="center" wrapText="1"/>
    </xf>
    <xf numFmtId="164" fontId="9" fillId="3" borderId="4" xfId="1" applyNumberFormat="1" applyFont="1" applyFill="1" applyBorder="1" applyAlignment="1">
      <alignment vertical="center" wrapText="1"/>
    </xf>
    <xf numFmtId="164" fontId="8" fillId="0" borderId="4" xfId="1" applyNumberFormat="1" applyFont="1" applyFill="1" applyBorder="1" applyAlignment="1">
      <alignment vertical="center" wrapText="1"/>
    </xf>
    <xf numFmtId="164" fontId="8" fillId="0" borderId="4" xfId="1" applyNumberFormat="1" applyFont="1" applyBorder="1" applyAlignment="1">
      <alignment vertical="center" wrapText="1"/>
    </xf>
    <xf numFmtId="0" fontId="6" fillId="0" borderId="0" xfId="0" applyFont="1" applyBorder="1" applyAlignment="1">
      <alignment vertical="center" wrapText="1"/>
    </xf>
    <xf numFmtId="0" fontId="6" fillId="0" borderId="6" xfId="0" applyFont="1" applyBorder="1" applyAlignment="1">
      <alignment vertical="center" wrapText="1"/>
    </xf>
    <xf numFmtId="164" fontId="8" fillId="0" borderId="6" xfId="1" applyNumberFormat="1" applyFont="1" applyFill="1" applyBorder="1" applyAlignment="1">
      <alignment vertical="center" wrapText="1"/>
    </xf>
    <xf numFmtId="0" fontId="8" fillId="2" borderId="6" xfId="0" applyFont="1" applyFill="1" applyBorder="1" applyAlignment="1">
      <alignment vertical="center" wrapText="1"/>
    </xf>
    <xf numFmtId="49" fontId="8" fillId="2" borderId="6" xfId="4" applyNumberFormat="1" applyFont="1" applyFill="1" applyBorder="1" applyAlignment="1">
      <alignment vertical="center" wrapText="1"/>
    </xf>
    <xf numFmtId="3" fontId="8" fillId="2" borderId="6" xfId="0" applyNumberFormat="1" applyFont="1" applyFill="1" applyBorder="1" applyAlignment="1">
      <alignment vertical="center" wrapText="1"/>
    </xf>
    <xf numFmtId="164" fontId="8" fillId="2" borderId="6" xfId="0" applyNumberFormat="1" applyFont="1" applyFill="1" applyBorder="1" applyAlignment="1">
      <alignment vertical="center" wrapText="1"/>
    </xf>
    <xf numFmtId="164" fontId="9" fillId="3" borderId="6" xfId="1" applyNumberFormat="1" applyFont="1" applyFill="1" applyBorder="1" applyAlignment="1">
      <alignment vertical="center" wrapText="1"/>
    </xf>
    <xf numFmtId="0" fontId="6" fillId="2" borderId="6" xfId="0" applyFont="1" applyFill="1" applyBorder="1" applyAlignment="1">
      <alignment vertical="center" wrapText="1"/>
    </xf>
    <xf numFmtId="0" fontId="8" fillId="2" borderId="6" xfId="5" applyFont="1" applyFill="1" applyBorder="1" applyAlignment="1">
      <alignment vertical="center" wrapText="1"/>
    </xf>
    <xf numFmtId="49" fontId="8" fillId="2" borderId="6" xfId="6" applyNumberFormat="1" applyFont="1" applyFill="1" applyBorder="1" applyAlignment="1">
      <alignment vertical="center" wrapText="1"/>
    </xf>
    <xf numFmtId="164" fontId="9" fillId="3" borderId="7" xfId="1" applyNumberFormat="1" applyFont="1" applyFill="1" applyBorder="1" applyAlignment="1">
      <alignment vertical="center" wrapText="1"/>
    </xf>
    <xf numFmtId="164" fontId="8" fillId="0" borderId="7" xfId="1" applyNumberFormat="1" applyFont="1" applyFill="1" applyBorder="1" applyAlignment="1">
      <alignment vertical="center" wrapText="1"/>
    </xf>
    <xf numFmtId="0" fontId="6" fillId="0" borderId="8" xfId="0" applyFont="1" applyBorder="1" applyAlignment="1">
      <alignment vertical="center" wrapText="1"/>
    </xf>
    <xf numFmtId="164" fontId="8" fillId="0" borderId="8" xfId="1" applyNumberFormat="1" applyFont="1" applyFill="1" applyBorder="1" applyAlignment="1">
      <alignment vertical="center" wrapText="1"/>
    </xf>
    <xf numFmtId="0" fontId="8" fillId="2" borderId="8" xfId="0" applyFont="1" applyFill="1" applyBorder="1" applyAlignment="1">
      <alignment vertical="center" wrapText="1"/>
    </xf>
    <xf numFmtId="49" fontId="8" fillId="2" borderId="8" xfId="4" applyNumberFormat="1" applyFont="1" applyFill="1" applyBorder="1" applyAlignment="1">
      <alignment vertical="center" wrapText="1"/>
    </xf>
    <xf numFmtId="3" fontId="8" fillId="2" borderId="8" xfId="0" applyNumberFormat="1" applyFont="1" applyFill="1" applyBorder="1" applyAlignment="1">
      <alignment vertical="center" wrapText="1"/>
    </xf>
    <xf numFmtId="164" fontId="8" fillId="2" borderId="8" xfId="0" applyNumberFormat="1" applyFont="1" applyFill="1" applyBorder="1" applyAlignment="1">
      <alignment vertical="center" wrapText="1"/>
    </xf>
    <xf numFmtId="164" fontId="9" fillId="3" borderId="8" xfId="1" applyNumberFormat="1" applyFont="1" applyFill="1" applyBorder="1" applyAlignment="1">
      <alignment vertical="center" wrapText="1"/>
    </xf>
    <xf numFmtId="0" fontId="8" fillId="2" borderId="2" xfId="0" applyFont="1" applyFill="1" applyBorder="1" applyAlignment="1">
      <alignment horizontal="center" vertical="center" wrapText="1"/>
    </xf>
    <xf numFmtId="49" fontId="8" fillId="2" borderId="2" xfId="7" applyNumberFormat="1" applyFont="1" applyFill="1" applyBorder="1" applyAlignment="1">
      <alignment horizontal="center" vertical="center" wrapText="1"/>
    </xf>
    <xf numFmtId="164" fontId="8" fillId="0" borderId="2" xfId="1" applyNumberFormat="1" applyFont="1" applyFill="1" applyBorder="1" applyAlignment="1">
      <alignment horizontal="left"/>
    </xf>
    <xf numFmtId="49" fontId="8" fillId="2" borderId="2" xfId="6" applyNumberFormat="1" applyFont="1" applyFill="1" applyBorder="1" applyAlignment="1">
      <alignment horizontal="center" vertical="center" wrapText="1"/>
    </xf>
    <xf numFmtId="3" fontId="8" fillId="2" borderId="2" xfId="0" applyNumberFormat="1" applyFont="1" applyFill="1" applyBorder="1" applyAlignment="1">
      <alignment horizontal="right" vertical="center" wrapText="1"/>
    </xf>
    <xf numFmtId="49" fontId="8" fillId="2" borderId="2" xfId="0" applyNumberFormat="1" applyFont="1" applyFill="1" applyBorder="1" applyAlignment="1">
      <alignment horizontal="center" vertical="center" wrapText="1"/>
    </xf>
    <xf numFmtId="164" fontId="8" fillId="2" borderId="2" xfId="0" applyNumberFormat="1" applyFont="1" applyFill="1" applyBorder="1" applyAlignment="1">
      <alignment horizontal="center" vertical="center" wrapText="1"/>
    </xf>
    <xf numFmtId="0" fontId="6" fillId="0" borderId="2" xfId="0" applyFont="1" applyBorder="1" applyAlignment="1">
      <alignment vertical="center" wrapText="1"/>
    </xf>
    <xf numFmtId="0" fontId="14" fillId="0" borderId="0" xfId="0" applyFont="1" applyAlignment="1">
      <alignment horizontal="center" vertical="center"/>
    </xf>
    <xf numFmtId="0" fontId="14" fillId="0" borderId="0" xfId="0" applyFont="1" applyAlignment="1">
      <alignment horizontal="left"/>
    </xf>
    <xf numFmtId="0" fontId="14" fillId="0" borderId="0" xfId="0" applyFont="1"/>
    <xf numFmtId="0" fontId="8" fillId="4" borderId="5" xfId="0" applyFont="1" applyFill="1" applyBorder="1" applyAlignment="1">
      <alignment horizontal="center" vertical="center" wrapText="1"/>
    </xf>
    <xf numFmtId="0" fontId="8" fillId="4" borderId="5" xfId="0" applyFont="1" applyFill="1" applyBorder="1" applyAlignment="1">
      <alignment horizontal="left" vertical="center" wrapText="1"/>
    </xf>
    <xf numFmtId="3" fontId="8" fillId="4" borderId="5" xfId="0" applyNumberFormat="1" applyFont="1" applyFill="1" applyBorder="1" applyAlignment="1">
      <alignment horizontal="center" vertical="center" wrapText="1"/>
    </xf>
    <xf numFmtId="164" fontId="8" fillId="4" borderId="5" xfId="1" applyNumberFormat="1" applyFont="1" applyFill="1" applyBorder="1" applyAlignment="1">
      <alignment horizontal="center" vertical="center" wrapText="1"/>
    </xf>
    <xf numFmtId="164" fontId="8" fillId="4" borderId="13" xfId="1" applyNumberFormat="1" applyFont="1" applyFill="1" applyBorder="1" applyAlignment="1">
      <alignment horizontal="center"/>
    </xf>
    <xf numFmtId="164" fontId="8" fillId="4" borderId="5" xfId="1" applyNumberFormat="1" applyFont="1" applyFill="1" applyBorder="1" applyAlignment="1">
      <alignment vertical="center"/>
    </xf>
    <xf numFmtId="164" fontId="9" fillId="4" borderId="5" xfId="1" applyNumberFormat="1" applyFont="1" applyFill="1" applyBorder="1" applyAlignment="1">
      <alignment horizontal="center"/>
    </xf>
    <xf numFmtId="164" fontId="8" fillId="4" borderId="13" xfId="1" applyNumberFormat="1" applyFont="1" applyFill="1" applyBorder="1"/>
    <xf numFmtId="164" fontId="8" fillId="4" borderId="4" xfId="1" applyNumberFormat="1" applyFont="1" applyFill="1" applyBorder="1" applyAlignment="1">
      <alignment horizontal="center" vertical="center"/>
    </xf>
    <xf numFmtId="164" fontId="8" fillId="4" borderId="5" xfId="1" applyNumberFormat="1" applyFont="1" applyFill="1" applyBorder="1" applyAlignment="1">
      <alignment horizontal="left" vertical="center"/>
    </xf>
    <xf numFmtId="0" fontId="6" fillId="4" borderId="5" xfId="0" applyFont="1" applyFill="1" applyBorder="1" applyAlignment="1">
      <alignment vertical="center" wrapText="1"/>
    </xf>
    <xf numFmtId="0" fontId="6" fillId="4" borderId="0" xfId="0" applyFont="1" applyFill="1" applyBorder="1" applyAlignment="1">
      <alignment vertical="center" wrapText="1"/>
    </xf>
    <xf numFmtId="164" fontId="6" fillId="4" borderId="0" xfId="1" applyNumberFormat="1" applyFont="1" applyFill="1" applyAlignment="1">
      <alignment horizontal="left"/>
    </xf>
    <xf numFmtId="0" fontId="6" fillId="4" borderId="0" xfId="0" applyFont="1" applyFill="1"/>
    <xf numFmtId="3" fontId="8" fillId="3" borderId="6" xfId="0" applyNumberFormat="1" applyFont="1" applyFill="1" applyBorder="1" applyAlignment="1">
      <alignment horizontal="center" vertical="center" wrapText="1"/>
    </xf>
    <xf numFmtId="164" fontId="8" fillId="3" borderId="6" xfId="0" applyNumberFormat="1" applyFont="1" applyFill="1" applyBorder="1" applyAlignment="1">
      <alignment horizontal="right" vertical="center" wrapText="1"/>
    </xf>
    <xf numFmtId="164" fontId="8" fillId="5" borderId="6" xfId="1" applyNumberFormat="1" applyFont="1" applyFill="1" applyBorder="1" applyAlignment="1">
      <alignment vertical="center"/>
    </xf>
    <xf numFmtId="164" fontId="8" fillId="0" borderId="13" xfId="1" applyNumberFormat="1" applyFont="1" applyFill="1" applyBorder="1" applyAlignment="1">
      <alignment horizontal="center"/>
    </xf>
    <xf numFmtId="164" fontId="8" fillId="0" borderId="14" xfId="1" applyNumberFormat="1" applyFont="1" applyFill="1" applyBorder="1"/>
    <xf numFmtId="164" fontId="8" fillId="5" borderId="6" xfId="1" applyNumberFormat="1" applyFont="1" applyFill="1" applyBorder="1" applyAlignment="1">
      <alignment horizontal="center" vertical="center"/>
    </xf>
    <xf numFmtId="164" fontId="8" fillId="3" borderId="6" xfId="1" applyNumberFormat="1"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6" xfId="0" applyFont="1" applyFill="1" applyBorder="1" applyAlignment="1">
      <alignment horizontal="left" vertical="center" wrapText="1"/>
    </xf>
    <xf numFmtId="164" fontId="8" fillId="4" borderId="6" xfId="1" applyNumberFormat="1" applyFont="1" applyFill="1" applyBorder="1" applyAlignment="1">
      <alignment horizontal="center" vertical="center" wrapText="1"/>
    </xf>
    <xf numFmtId="164" fontId="8" fillId="4" borderId="6" xfId="1" applyNumberFormat="1" applyFont="1" applyFill="1" applyBorder="1" applyAlignment="1">
      <alignment vertical="center"/>
    </xf>
    <xf numFmtId="164" fontId="9" fillId="4" borderId="6" xfId="1" applyNumberFormat="1" applyFont="1" applyFill="1" applyBorder="1" applyAlignment="1">
      <alignment horizontal="center"/>
    </xf>
    <xf numFmtId="164" fontId="8" fillId="4" borderId="14" xfId="1" applyNumberFormat="1" applyFont="1" applyFill="1" applyBorder="1"/>
    <xf numFmtId="164" fontId="8" fillId="4" borderId="6" xfId="1" applyNumberFormat="1" applyFont="1" applyFill="1" applyBorder="1" applyAlignment="1">
      <alignment horizontal="center" vertical="center"/>
    </xf>
    <xf numFmtId="0" fontId="6" fillId="4" borderId="6" xfId="0" applyFont="1" applyFill="1" applyBorder="1" applyAlignment="1">
      <alignment vertical="center" wrapText="1"/>
    </xf>
    <xf numFmtId="164" fontId="8" fillId="0" borderId="15" xfId="1" applyNumberFormat="1" applyFont="1" applyFill="1" applyBorder="1"/>
    <xf numFmtId="0" fontId="8" fillId="0" borderId="7" xfId="0" applyFont="1" applyBorder="1" applyAlignment="1">
      <alignment horizontal="center" vertical="center" wrapText="1"/>
    </xf>
    <xf numFmtId="164" fontId="8" fillId="3" borderId="7" xfId="0" applyNumberFormat="1" applyFont="1" applyFill="1" applyBorder="1" applyAlignment="1">
      <alignment horizontal="right" vertical="center" wrapText="1"/>
    </xf>
    <xf numFmtId="164" fontId="8" fillId="5" borderId="7" xfId="1" applyNumberFormat="1" applyFont="1" applyFill="1" applyBorder="1" applyAlignment="1">
      <alignment vertical="center"/>
    </xf>
    <xf numFmtId="164" fontId="8" fillId="5" borderId="7" xfId="1" applyNumberFormat="1" applyFont="1" applyFill="1" applyBorder="1" applyAlignment="1">
      <alignment horizontal="center" vertical="center"/>
    </xf>
    <xf numFmtId="164" fontId="8" fillId="5" borderId="2" xfId="1" applyNumberFormat="1" applyFont="1" applyFill="1" applyBorder="1" applyAlignment="1">
      <alignment vertical="center"/>
    </xf>
    <xf numFmtId="164" fontId="8" fillId="5" borderId="2" xfId="1" applyNumberFormat="1" applyFont="1" applyFill="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left" vertical="center"/>
    </xf>
    <xf numFmtId="0" fontId="6" fillId="0" borderId="4" xfId="0" applyFont="1" applyBorder="1" applyAlignment="1">
      <alignment horizontal="center" vertical="center" wrapText="1"/>
    </xf>
    <xf numFmtId="3" fontId="6" fillId="6" borderId="4" xfId="0" applyNumberFormat="1" applyFont="1" applyFill="1" applyBorder="1" applyAlignment="1">
      <alignment horizontal="right" vertical="center"/>
    </xf>
    <xf numFmtId="164" fontId="6" fillId="6" borderId="4" xfId="1" applyNumberFormat="1" applyFont="1" applyFill="1" applyBorder="1" applyAlignment="1">
      <alignment horizontal="right" vertical="center"/>
    </xf>
    <xf numFmtId="164" fontId="6" fillId="0" borderId="4" xfId="0" applyNumberFormat="1" applyFont="1" applyBorder="1" applyAlignment="1">
      <alignment vertical="center"/>
    </xf>
    <xf numFmtId="164" fontId="8" fillId="0" borderId="5" xfId="1" applyNumberFormat="1" applyFont="1" applyFill="1" applyBorder="1"/>
    <xf numFmtId="0" fontId="8" fillId="0" borderId="4" xfId="9" applyFont="1" applyBorder="1" applyAlignment="1">
      <alignment horizontal="center" vertical="center" wrapText="1"/>
    </xf>
    <xf numFmtId="0" fontId="6" fillId="0" borderId="4" xfId="0" applyFont="1" applyBorder="1" applyAlignment="1">
      <alignment vertical="center"/>
    </xf>
    <xf numFmtId="0" fontId="6" fillId="0" borderId="6" xfId="0" applyFont="1" applyBorder="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horizontal="center" vertical="center" wrapText="1"/>
    </xf>
    <xf numFmtId="3" fontId="6" fillId="6" borderId="6" xfId="0" applyNumberFormat="1" applyFont="1" applyFill="1" applyBorder="1" applyAlignment="1">
      <alignment horizontal="right" vertical="center"/>
    </xf>
    <xf numFmtId="164" fontId="6" fillId="6" borderId="6" xfId="1" applyNumberFormat="1" applyFont="1" applyFill="1" applyBorder="1" applyAlignment="1">
      <alignment horizontal="right" vertical="center"/>
    </xf>
    <xf numFmtId="164" fontId="6" fillId="0" borderId="6" xfId="0" applyNumberFormat="1" applyFont="1" applyBorder="1" applyAlignment="1">
      <alignment vertical="center"/>
    </xf>
    <xf numFmtId="0" fontId="8" fillId="0" borderId="6" xfId="9" applyFont="1" applyBorder="1" applyAlignment="1">
      <alignment horizontal="center" vertical="center" wrapText="1"/>
    </xf>
    <xf numFmtId="0" fontId="6" fillId="0" borderId="6" xfId="0" applyFont="1" applyBorder="1" applyAlignment="1">
      <alignment vertical="center"/>
    </xf>
    <xf numFmtId="0" fontId="6" fillId="6" borderId="6" xfId="0" applyFont="1" applyFill="1" applyBorder="1" applyAlignment="1">
      <alignment horizontal="right" vertical="center"/>
    </xf>
    <xf numFmtId="0" fontId="6" fillId="0" borderId="6" xfId="0" applyFont="1" applyBorder="1" applyAlignment="1">
      <alignment horizontal="left" vertical="center" wrapText="1"/>
    </xf>
    <xf numFmtId="0" fontId="6" fillId="6" borderId="6" xfId="0" applyFont="1" applyFill="1" applyBorder="1" applyAlignment="1">
      <alignment horizontal="center" vertical="center"/>
    </xf>
    <xf numFmtId="0" fontId="6" fillId="6" borderId="6" xfId="0" applyFont="1" applyFill="1" applyBorder="1" applyAlignment="1">
      <alignment horizontal="center" vertical="center" wrapText="1"/>
    </xf>
    <xf numFmtId="0" fontId="6" fillId="6" borderId="6" xfId="0" applyFont="1" applyFill="1" applyBorder="1" applyAlignment="1">
      <alignment horizontal="left" vertical="center" wrapText="1"/>
    </xf>
    <xf numFmtId="164" fontId="8" fillId="3" borderId="6" xfId="1" applyNumberFormat="1" applyFont="1" applyFill="1" applyBorder="1"/>
    <xf numFmtId="164" fontId="8" fillId="3" borderId="4" xfId="1" applyNumberFormat="1" applyFont="1" applyFill="1" applyBorder="1"/>
    <xf numFmtId="0" fontId="6" fillId="6" borderId="7" xfId="0" applyFont="1" applyFill="1" applyBorder="1" applyAlignment="1">
      <alignment horizontal="center" vertical="center"/>
    </xf>
    <xf numFmtId="0" fontId="6" fillId="6" borderId="7" xfId="0" applyFont="1" applyFill="1" applyBorder="1" applyAlignment="1">
      <alignment horizontal="center" vertical="center" wrapText="1"/>
    </xf>
    <xf numFmtId="0" fontId="6" fillId="6" borderId="7" xfId="0" applyFont="1" applyFill="1" applyBorder="1" applyAlignment="1">
      <alignment horizontal="left" vertical="center" wrapText="1"/>
    </xf>
    <xf numFmtId="3" fontId="6" fillId="6" borderId="7" xfId="0" applyNumberFormat="1" applyFont="1" applyFill="1" applyBorder="1" applyAlignment="1">
      <alignment horizontal="right" vertical="center"/>
    </xf>
    <xf numFmtId="164" fontId="6" fillId="6" borderId="7" xfId="1" applyNumberFormat="1" applyFont="1" applyFill="1" applyBorder="1" applyAlignment="1">
      <alignment horizontal="right" vertical="center"/>
    </xf>
    <xf numFmtId="164" fontId="6" fillId="0" borderId="7" xfId="0" applyNumberFormat="1" applyFont="1" applyBorder="1" applyAlignment="1">
      <alignment vertical="center"/>
    </xf>
    <xf numFmtId="0" fontId="6" fillId="0" borderId="7" xfId="0" applyFont="1" applyBorder="1" applyAlignment="1">
      <alignment horizontal="center" vertical="center" wrapText="1"/>
    </xf>
    <xf numFmtId="0" fontId="6" fillId="0" borderId="7" xfId="0" applyFont="1" applyBorder="1" applyAlignment="1">
      <alignment vertical="center"/>
    </xf>
    <xf numFmtId="0" fontId="6" fillId="0" borderId="2" xfId="0" applyFont="1" applyBorder="1" applyAlignment="1">
      <alignment vertical="center"/>
    </xf>
    <xf numFmtId="164" fontId="6" fillId="0" borderId="2" xfId="1" applyNumberFormat="1" applyFont="1" applyBorder="1" applyAlignment="1">
      <alignment vertical="center"/>
    </xf>
    <xf numFmtId="164" fontId="6" fillId="0" borderId="2" xfId="0" applyNumberFormat="1"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wrapText="1"/>
    </xf>
    <xf numFmtId="0" fontId="6" fillId="0" borderId="5" xfId="0" applyFont="1" applyBorder="1" applyAlignment="1">
      <alignment horizontal="center" vertical="center"/>
    </xf>
    <xf numFmtId="164" fontId="8" fillId="0" borderId="5" xfId="1" applyNumberFormat="1" applyFont="1" applyFill="1" applyBorder="1" applyAlignment="1">
      <alignment horizontal="left" vertical="center" wrapText="1"/>
    </xf>
    <xf numFmtId="3" fontId="9" fillId="0" borderId="5" xfId="1" applyNumberFormat="1" applyFont="1" applyFill="1" applyBorder="1" applyAlignment="1">
      <alignment horizontal="center" vertical="center" wrapText="1"/>
    </xf>
    <xf numFmtId="0" fontId="6" fillId="0" borderId="5" xfId="0" applyFont="1" applyBorder="1" applyAlignment="1">
      <alignment horizontal="center" vertical="center" wrapText="1"/>
    </xf>
    <xf numFmtId="164" fontId="9" fillId="3" borderId="5" xfId="1" applyNumberFormat="1" applyFont="1" applyFill="1" applyBorder="1" applyAlignment="1">
      <alignment horizontal="center" vertical="center"/>
    </xf>
    <xf numFmtId="164" fontId="8" fillId="0" borderId="5" xfId="1" applyNumberFormat="1" applyFont="1" applyFill="1" applyBorder="1" applyAlignment="1">
      <alignment horizontal="center" vertical="center"/>
    </xf>
    <xf numFmtId="3" fontId="6" fillId="0" borderId="5" xfId="0" applyNumberFormat="1" applyFont="1" applyBorder="1" applyAlignment="1">
      <alignment horizontal="center" vertical="center" wrapText="1"/>
    </xf>
    <xf numFmtId="0" fontId="6" fillId="0" borderId="4" xfId="0" applyFont="1" applyBorder="1"/>
    <xf numFmtId="0" fontId="8" fillId="0" borderId="5" xfId="0" applyFont="1" applyBorder="1" applyAlignment="1">
      <alignment vertical="center" wrapText="1"/>
    </xf>
    <xf numFmtId="164" fontId="8" fillId="0" borderId="6" xfId="1" applyNumberFormat="1" applyFont="1" applyFill="1" applyBorder="1" applyAlignment="1">
      <alignment horizontal="left" vertical="center" wrapText="1"/>
    </xf>
    <xf numFmtId="3" fontId="9" fillId="0" borderId="6" xfId="1" applyNumberFormat="1" applyFont="1" applyFill="1" applyBorder="1" applyAlignment="1">
      <alignment horizontal="center" vertical="center" wrapText="1"/>
    </xf>
    <xf numFmtId="164" fontId="9" fillId="3" borderId="6" xfId="1" applyNumberFormat="1" applyFont="1" applyFill="1" applyBorder="1" applyAlignment="1">
      <alignment horizontal="center" vertical="center"/>
    </xf>
    <xf numFmtId="164" fontId="8" fillId="0" borderId="6" xfId="1" applyNumberFormat="1" applyFont="1" applyFill="1" applyBorder="1" applyAlignment="1">
      <alignment horizontal="center" vertical="center"/>
    </xf>
    <xf numFmtId="3" fontId="6" fillId="0" borderId="6" xfId="0" applyNumberFormat="1" applyFont="1" applyBorder="1" applyAlignment="1">
      <alignment horizontal="center" vertical="center" wrapText="1"/>
    </xf>
    <xf numFmtId="0" fontId="6" fillId="0" borderId="6" xfId="0" applyFont="1" applyBorder="1"/>
    <xf numFmtId="0" fontId="6" fillId="0" borderId="8" xfId="0" applyFont="1" applyBorder="1" applyAlignment="1">
      <alignment horizontal="center" vertical="center"/>
    </xf>
    <xf numFmtId="164" fontId="8" fillId="0" borderId="8" xfId="1" applyNumberFormat="1" applyFont="1" applyFill="1" applyBorder="1" applyAlignment="1">
      <alignment horizontal="left" vertical="center" wrapText="1"/>
    </xf>
    <xf numFmtId="3" fontId="9" fillId="0" borderId="8" xfId="1" applyNumberFormat="1" applyFont="1" applyFill="1" applyBorder="1" applyAlignment="1">
      <alignment horizontal="center" vertical="center" wrapText="1"/>
    </xf>
    <xf numFmtId="0" fontId="6" fillId="0" borderId="8" xfId="0" applyFont="1" applyBorder="1" applyAlignment="1">
      <alignment horizontal="center" vertical="center" wrapText="1"/>
    </xf>
    <xf numFmtId="164" fontId="9" fillId="3" borderId="8" xfId="1" applyNumberFormat="1" applyFont="1" applyFill="1" applyBorder="1" applyAlignment="1">
      <alignment horizontal="center" vertical="center"/>
    </xf>
    <xf numFmtId="164" fontId="8" fillId="0" borderId="8" xfId="1" applyNumberFormat="1" applyFont="1" applyFill="1" applyBorder="1" applyAlignment="1">
      <alignment horizontal="center" vertical="center"/>
    </xf>
    <xf numFmtId="3" fontId="6" fillId="0" borderId="7" xfId="0" applyNumberFormat="1" applyFont="1" applyBorder="1" applyAlignment="1">
      <alignment horizontal="center" vertical="center" wrapText="1"/>
    </xf>
    <xf numFmtId="164" fontId="8" fillId="0" borderId="10" xfId="1" applyNumberFormat="1" applyFont="1" applyFill="1" applyBorder="1"/>
    <xf numFmtId="164" fontId="8" fillId="0" borderId="10" xfId="1" applyNumberFormat="1" applyFont="1" applyBorder="1" applyAlignment="1">
      <alignment horizontal="center" vertical="center"/>
    </xf>
    <xf numFmtId="0" fontId="6" fillId="0" borderId="7" xfId="0" applyFont="1" applyBorder="1"/>
    <xf numFmtId="0" fontId="6" fillId="0" borderId="3" xfId="0" applyFont="1" applyBorder="1" applyAlignment="1"/>
    <xf numFmtId="3" fontId="6" fillId="0" borderId="2" xfId="0" applyNumberFormat="1" applyFont="1" applyBorder="1" applyAlignment="1"/>
    <xf numFmtId="0" fontId="6" fillId="0" borderId="2" xfId="0" applyFont="1" applyBorder="1" applyAlignment="1">
      <alignment horizontal="center"/>
    </xf>
    <xf numFmtId="0" fontId="6" fillId="0" borderId="2" xfId="0" applyFont="1" applyBorder="1"/>
    <xf numFmtId="164" fontId="6" fillId="0" borderId="2" xfId="1" applyNumberFormat="1" applyFont="1" applyBorder="1"/>
    <xf numFmtId="164" fontId="6" fillId="0" borderId="2" xfId="1" applyNumberFormat="1" applyFont="1" applyBorder="1" applyAlignment="1">
      <alignment horizontal="left"/>
    </xf>
    <xf numFmtId="164" fontId="8" fillId="0" borderId="4" xfId="1" applyNumberFormat="1" applyFont="1" applyFill="1" applyBorder="1" applyAlignment="1">
      <alignment vertical="center"/>
    </xf>
    <xf numFmtId="164" fontId="8" fillId="0" borderId="19" xfId="1" applyNumberFormat="1" applyFont="1" applyFill="1" applyBorder="1" applyAlignment="1">
      <alignment vertical="center"/>
    </xf>
    <xf numFmtId="0" fontId="8" fillId="0" borderId="4" xfId="8" applyFont="1" applyFill="1" applyBorder="1" applyAlignment="1">
      <alignment horizontal="left" vertical="center" wrapText="1"/>
    </xf>
    <xf numFmtId="164" fontId="8" fillId="0" borderId="4" xfId="1" applyNumberFormat="1" applyFont="1" applyFill="1" applyBorder="1" applyAlignment="1">
      <alignment horizontal="center" vertical="center" wrapText="1"/>
    </xf>
    <xf numFmtId="164" fontId="8" fillId="0" borderId="4" xfId="1" applyNumberFormat="1" applyFont="1" applyFill="1" applyBorder="1" applyAlignment="1">
      <alignment horizontal="center" vertical="center"/>
    </xf>
    <xf numFmtId="49" fontId="8" fillId="0" borderId="4" xfId="1" applyNumberFormat="1" applyFont="1" applyFill="1" applyBorder="1" applyAlignment="1">
      <alignment horizontal="center" vertical="center"/>
    </xf>
    <xf numFmtId="164" fontId="8" fillId="0" borderId="6" xfId="1" applyNumberFormat="1" applyFont="1" applyFill="1" applyBorder="1" applyAlignment="1">
      <alignment vertical="center"/>
    </xf>
    <xf numFmtId="164" fontId="8" fillId="0" borderId="20" xfId="1" applyNumberFormat="1" applyFont="1" applyFill="1" applyBorder="1" applyAlignment="1">
      <alignment vertical="center"/>
    </xf>
    <xf numFmtId="0" fontId="8" fillId="0" borderId="6" xfId="8" applyFont="1" applyFill="1" applyBorder="1" applyAlignment="1">
      <alignment horizontal="left" vertical="center" wrapText="1"/>
    </xf>
    <xf numFmtId="0" fontId="8" fillId="0" borderId="7" xfId="8" applyFont="1" applyFill="1" applyBorder="1" applyAlignment="1">
      <alignment horizontal="left" vertical="center" wrapText="1"/>
    </xf>
    <xf numFmtId="164" fontId="8" fillId="0" borderId="7" xfId="1" applyNumberFormat="1" applyFont="1" applyFill="1" applyBorder="1" applyAlignment="1">
      <alignment horizontal="center" vertical="center"/>
    </xf>
    <xf numFmtId="164" fontId="8" fillId="0" borderId="10" xfId="1" applyNumberFormat="1" applyFont="1" applyFill="1" applyBorder="1" applyAlignment="1">
      <alignment vertical="center"/>
    </xf>
    <xf numFmtId="164" fontId="8" fillId="0" borderId="7" xfId="1" applyNumberFormat="1" applyFont="1" applyFill="1" applyBorder="1" applyAlignment="1">
      <alignment vertical="center"/>
    </xf>
    <xf numFmtId="164" fontId="8" fillId="0" borderId="6" xfId="1" applyNumberFormat="1" applyFont="1" applyFill="1" applyBorder="1" applyAlignment="1">
      <alignment horizontal="left" vertical="center"/>
    </xf>
    <xf numFmtId="164" fontId="8" fillId="0" borderId="7" xfId="1" applyNumberFormat="1" applyFont="1" applyFill="1" applyBorder="1" applyAlignment="1">
      <alignment horizontal="left" vertical="center" wrapText="1"/>
    </xf>
    <xf numFmtId="0" fontId="8" fillId="0" borderId="8" xfId="0" applyFont="1" applyBorder="1" applyAlignment="1">
      <alignment vertical="center" wrapText="1"/>
    </xf>
    <xf numFmtId="164" fontId="8" fillId="0" borderId="21" xfId="1" applyNumberFormat="1" applyFont="1" applyFill="1" applyBorder="1" applyAlignment="1">
      <alignment vertical="center"/>
    </xf>
    <xf numFmtId="164" fontId="8" fillId="0" borderId="2" xfId="1" applyNumberFormat="1" applyFont="1" applyFill="1" applyBorder="1" applyAlignment="1">
      <alignment horizontal="left" vertical="center"/>
    </xf>
    <xf numFmtId="164" fontId="8" fillId="0" borderId="2" xfId="1" applyNumberFormat="1" applyFont="1" applyFill="1" applyBorder="1" applyAlignment="1">
      <alignment horizontal="center" vertical="center" wrapText="1"/>
    </xf>
    <xf numFmtId="164" fontId="8" fillId="0" borderId="2" xfId="1" applyNumberFormat="1" applyFont="1" applyFill="1" applyBorder="1" applyAlignment="1">
      <alignment horizontal="center" vertical="center"/>
    </xf>
    <xf numFmtId="4" fontId="8" fillId="0" borderId="2" xfId="1" applyNumberFormat="1" applyFont="1" applyFill="1" applyBorder="1" applyAlignment="1">
      <alignment vertical="center"/>
    </xf>
    <xf numFmtId="164" fontId="8" fillId="0" borderId="2" xfId="1" applyNumberFormat="1" applyFont="1" applyFill="1" applyBorder="1" applyAlignment="1">
      <alignment vertical="center"/>
    </xf>
    <xf numFmtId="0" fontId="6" fillId="0" borderId="22" xfId="0" applyFont="1" applyBorder="1" applyAlignment="1">
      <alignment horizontal="center" vertical="center"/>
    </xf>
    <xf numFmtId="0" fontId="6" fillId="0" borderId="22" xfId="0" applyFont="1" applyBorder="1" applyAlignment="1">
      <alignment horizontal="left" vertical="center" wrapText="1"/>
    </xf>
    <xf numFmtId="0" fontId="6" fillId="0" borderId="22" xfId="0" applyFont="1" applyBorder="1" applyAlignment="1">
      <alignment horizontal="center" vertical="center" wrapText="1"/>
    </xf>
    <xf numFmtId="164" fontId="8" fillId="0" borderId="22" xfId="1" applyNumberFormat="1" applyFont="1" applyFill="1" applyBorder="1" applyAlignment="1">
      <alignment vertical="center"/>
    </xf>
    <xf numFmtId="3" fontId="8" fillId="0" borderId="22" xfId="1" applyNumberFormat="1" applyFont="1" applyFill="1" applyBorder="1" applyAlignment="1">
      <alignment vertical="center"/>
    </xf>
    <xf numFmtId="164" fontId="9" fillId="3" borderId="22" xfId="1" applyNumberFormat="1" applyFont="1" applyFill="1" applyBorder="1" applyAlignment="1">
      <alignment horizontal="center"/>
    </xf>
    <xf numFmtId="164" fontId="8" fillId="0" borderId="22" xfId="1" applyNumberFormat="1" applyFont="1" applyFill="1" applyBorder="1"/>
    <xf numFmtId="164" fontId="8" fillId="0" borderId="22" xfId="1" applyNumberFormat="1" applyFont="1" applyBorder="1" applyAlignment="1">
      <alignment horizontal="center" vertical="center"/>
    </xf>
    <xf numFmtId="0" fontId="8" fillId="0" borderId="22" xfId="0" applyFont="1" applyBorder="1" applyAlignment="1">
      <alignment vertical="center" wrapText="1"/>
    </xf>
    <xf numFmtId="164" fontId="6" fillId="0" borderId="0" xfId="0" applyNumberFormat="1" applyFont="1"/>
    <xf numFmtId="0" fontId="6" fillId="0" borderId="14" xfId="0" applyFont="1" applyBorder="1" applyAlignment="1">
      <alignment horizontal="center" vertical="center"/>
    </xf>
    <xf numFmtId="0" fontId="6" fillId="0" borderId="14" xfId="0" applyFont="1" applyBorder="1" applyAlignment="1">
      <alignment horizontal="left" vertical="center" wrapText="1"/>
    </xf>
    <xf numFmtId="0" fontId="6" fillId="0" borderId="14" xfId="0" applyFont="1" applyBorder="1" applyAlignment="1">
      <alignment horizontal="center" vertical="center" wrapText="1"/>
    </xf>
    <xf numFmtId="164" fontId="8" fillId="0" borderId="14" xfId="1" applyNumberFormat="1" applyFont="1" applyFill="1" applyBorder="1" applyAlignment="1">
      <alignment vertical="center"/>
    </xf>
    <xf numFmtId="3" fontId="8" fillId="0" borderId="14" xfId="1" applyNumberFormat="1" applyFont="1" applyFill="1" applyBorder="1" applyAlignment="1">
      <alignment vertical="center"/>
    </xf>
    <xf numFmtId="164" fontId="9" fillId="3" borderId="14" xfId="1" applyNumberFormat="1" applyFont="1" applyFill="1" applyBorder="1" applyAlignment="1">
      <alignment horizontal="center"/>
    </xf>
    <xf numFmtId="164" fontId="8" fillId="0" borderId="14" xfId="1" applyNumberFormat="1" applyFont="1" applyBorder="1" applyAlignment="1">
      <alignment horizontal="center" vertical="center"/>
    </xf>
    <xf numFmtId="0" fontId="8" fillId="0" borderId="14" xfId="0" applyFont="1" applyBorder="1" applyAlignment="1">
      <alignment vertical="center" wrapText="1"/>
    </xf>
    <xf numFmtId="0" fontId="6" fillId="0" borderId="14" xfId="0" quotePrefix="1" applyFont="1" applyBorder="1" applyAlignment="1">
      <alignment horizontal="center" vertical="center"/>
    </xf>
    <xf numFmtId="0" fontId="6" fillId="4" borderId="14" xfId="0" applyFont="1" applyFill="1" applyBorder="1" applyAlignment="1">
      <alignment horizontal="center" vertical="center"/>
    </xf>
    <xf numFmtId="0" fontId="6" fillId="4" borderId="14" xfId="0" applyFont="1" applyFill="1" applyBorder="1" applyAlignment="1">
      <alignment horizontal="left" vertical="center" wrapText="1"/>
    </xf>
    <xf numFmtId="0" fontId="6" fillId="4" borderId="14" xfId="0" applyFont="1" applyFill="1" applyBorder="1" applyAlignment="1">
      <alignment horizontal="center" vertical="center" wrapText="1"/>
    </xf>
    <xf numFmtId="164" fontId="8" fillId="4" borderId="14" xfId="1" applyNumberFormat="1" applyFont="1" applyFill="1" applyBorder="1" applyAlignment="1">
      <alignment vertical="center"/>
    </xf>
    <xf numFmtId="164" fontId="9" fillId="4" borderId="14" xfId="1" applyNumberFormat="1" applyFont="1" applyFill="1" applyBorder="1" applyAlignment="1">
      <alignment horizontal="center"/>
    </xf>
    <xf numFmtId="164" fontId="8" fillId="4" borderId="14" xfId="1" applyNumberFormat="1" applyFont="1" applyFill="1" applyBorder="1" applyAlignment="1">
      <alignment horizontal="center" vertical="center"/>
    </xf>
    <xf numFmtId="0" fontId="8" fillId="4" borderId="14" xfId="0" applyFont="1" applyFill="1" applyBorder="1" applyAlignment="1">
      <alignment vertical="center" wrapText="1"/>
    </xf>
    <xf numFmtId="0" fontId="8" fillId="4" borderId="0" xfId="0" applyFont="1" applyFill="1" applyBorder="1" applyAlignment="1">
      <alignment vertical="center" wrapText="1"/>
    </xf>
    <xf numFmtId="164" fontId="6" fillId="4" borderId="0" xfId="0" applyNumberFormat="1" applyFont="1" applyFill="1"/>
    <xf numFmtId="0" fontId="6" fillId="0" borderId="14" xfId="0" applyFont="1" applyFill="1" applyBorder="1" applyAlignment="1">
      <alignment horizontal="center" vertical="center"/>
    </xf>
    <xf numFmtId="0" fontId="6"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164" fontId="9" fillId="0" borderId="14" xfId="1" applyNumberFormat="1" applyFont="1" applyFill="1" applyBorder="1" applyAlignment="1">
      <alignment horizontal="center"/>
    </xf>
    <xf numFmtId="164" fontId="8" fillId="0" borderId="14" xfId="1" applyNumberFormat="1" applyFont="1" applyFill="1" applyBorder="1" applyAlignment="1">
      <alignment horizontal="center" vertical="center"/>
    </xf>
    <xf numFmtId="164" fontId="6" fillId="0" borderId="0" xfId="0" applyNumberFormat="1" applyFont="1" applyFill="1"/>
    <xf numFmtId="0" fontId="8" fillId="0" borderId="14" xfId="0" applyFont="1" applyBorder="1" applyAlignment="1">
      <alignment horizontal="center" vertical="center" wrapText="1"/>
    </xf>
    <xf numFmtId="0" fontId="6" fillId="2" borderId="14" xfId="0" applyFont="1" applyFill="1" applyBorder="1" applyAlignment="1">
      <alignment horizontal="center" vertical="center"/>
    </xf>
    <xf numFmtId="0" fontId="6" fillId="2" borderId="14" xfId="0" applyFont="1" applyFill="1" applyBorder="1" applyAlignment="1">
      <alignment horizontal="left" vertical="center" wrapText="1"/>
    </xf>
    <xf numFmtId="0" fontId="6" fillId="2" borderId="14" xfId="0" applyFont="1" applyFill="1" applyBorder="1" applyAlignment="1">
      <alignment horizontal="center" vertical="center" wrapText="1"/>
    </xf>
    <xf numFmtId="164" fontId="8" fillId="2" borderId="14" xfId="1" applyNumberFormat="1" applyFont="1" applyFill="1" applyBorder="1" applyAlignment="1">
      <alignment vertical="center"/>
    </xf>
    <xf numFmtId="3" fontId="8" fillId="2" borderId="14" xfId="1" applyNumberFormat="1" applyFont="1" applyFill="1" applyBorder="1" applyAlignment="1">
      <alignment vertical="center"/>
    </xf>
    <xf numFmtId="164" fontId="9" fillId="2" borderId="14" xfId="1" applyNumberFormat="1" applyFont="1" applyFill="1" applyBorder="1" applyAlignment="1">
      <alignment horizontal="center"/>
    </xf>
    <xf numFmtId="164" fontId="8" fillId="2" borderId="14" xfId="1" applyNumberFormat="1" applyFont="1" applyFill="1" applyBorder="1"/>
    <xf numFmtId="164" fontId="8" fillId="2" borderId="14" xfId="1" applyNumberFormat="1" applyFont="1" applyFill="1" applyBorder="1" applyAlignment="1">
      <alignment horizontal="center" vertical="center"/>
    </xf>
    <xf numFmtId="164" fontId="6" fillId="2" borderId="0" xfId="1" applyNumberFormat="1" applyFont="1" applyFill="1" applyAlignment="1">
      <alignment horizontal="left"/>
    </xf>
    <xf numFmtId="164" fontId="6" fillId="2" borderId="0" xfId="0" applyNumberFormat="1" applyFont="1" applyFill="1"/>
    <xf numFmtId="0" fontId="6" fillId="2" borderId="0" xfId="0" applyFont="1" applyFill="1"/>
    <xf numFmtId="0" fontId="6" fillId="2" borderId="23" xfId="0" applyFont="1" applyFill="1" applyBorder="1" applyAlignment="1">
      <alignment horizontal="center" vertical="center"/>
    </xf>
    <xf numFmtId="0" fontId="6" fillId="2" borderId="23" xfId="0" applyFont="1" applyFill="1" applyBorder="1" applyAlignment="1">
      <alignment horizontal="left" vertical="center" wrapText="1"/>
    </xf>
    <xf numFmtId="0" fontId="6" fillId="2" borderId="23" xfId="0" applyFont="1" applyFill="1" applyBorder="1" applyAlignment="1">
      <alignment horizontal="center" vertical="center" wrapText="1"/>
    </xf>
    <xf numFmtId="164" fontId="8" fillId="2" borderId="23" xfId="1" applyNumberFormat="1" applyFont="1" applyFill="1" applyBorder="1" applyAlignment="1">
      <alignment vertical="center"/>
    </xf>
    <xf numFmtId="3" fontId="8" fillId="2" borderId="23" xfId="1" applyNumberFormat="1" applyFont="1" applyFill="1" applyBorder="1" applyAlignment="1">
      <alignment vertical="center"/>
    </xf>
    <xf numFmtId="164" fontId="9" fillId="2" borderId="23" xfId="1" applyNumberFormat="1" applyFont="1" applyFill="1" applyBorder="1" applyAlignment="1">
      <alignment horizontal="center"/>
    </xf>
    <xf numFmtId="164" fontId="8" fillId="2" borderId="23" xfId="1" applyNumberFormat="1" applyFont="1" applyFill="1" applyBorder="1"/>
    <xf numFmtId="164" fontId="8" fillId="2" borderId="23" xfId="1" applyNumberFormat="1" applyFont="1" applyFill="1" applyBorder="1" applyAlignment="1">
      <alignment horizontal="center" vertical="center"/>
    </xf>
    <xf numFmtId="0" fontId="8" fillId="0" borderId="23" xfId="0" applyFont="1" applyBorder="1" applyAlignment="1">
      <alignment vertical="center" wrapText="1"/>
    </xf>
    <xf numFmtId="0" fontId="6" fillId="0" borderId="25" xfId="0" applyFont="1" applyBorder="1" applyAlignment="1"/>
    <xf numFmtId="164" fontId="6" fillId="0" borderId="24" xfId="0" applyNumberFormat="1" applyFont="1" applyBorder="1" applyAlignment="1">
      <alignment vertical="center" wrapText="1"/>
    </xf>
    <xf numFmtId="0" fontId="6" fillId="0" borderId="21" xfId="0" applyFont="1" applyBorder="1"/>
    <xf numFmtId="0" fontId="6"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left" vertical="center" wrapText="1"/>
    </xf>
    <xf numFmtId="0" fontId="8" fillId="6" borderId="9" xfId="0" applyFont="1" applyFill="1" applyBorder="1" applyAlignment="1">
      <alignment horizontal="right" vertical="center"/>
    </xf>
    <xf numFmtId="164" fontId="8" fillId="6" borderId="5" xfId="1" applyNumberFormat="1" applyFont="1" applyFill="1" applyBorder="1" applyAlignment="1">
      <alignment horizontal="right" vertical="center"/>
    </xf>
    <xf numFmtId="164" fontId="8" fillId="0" borderId="27" xfId="0" applyNumberFormat="1" applyFont="1" applyBorder="1" applyAlignment="1">
      <alignment vertical="center"/>
    </xf>
    <xf numFmtId="0" fontId="8" fillId="0" borderId="5" xfId="10" applyFont="1" applyBorder="1" applyAlignment="1">
      <alignment horizontal="center" vertical="center" wrapText="1"/>
    </xf>
    <xf numFmtId="3" fontId="8" fillId="6" borderId="11" xfId="0" applyNumberFormat="1" applyFont="1" applyFill="1" applyBorder="1" applyAlignment="1">
      <alignment horizontal="right" vertical="center"/>
    </xf>
    <xf numFmtId="164" fontId="8" fillId="6" borderId="6" xfId="1" applyNumberFormat="1" applyFont="1" applyFill="1" applyBorder="1" applyAlignment="1">
      <alignment horizontal="right" vertical="center"/>
    </xf>
    <xf numFmtId="164" fontId="8" fillId="0" borderId="20" xfId="0" applyNumberFormat="1" applyFont="1" applyBorder="1" applyAlignment="1">
      <alignment vertical="center"/>
    </xf>
    <xf numFmtId="0" fontId="8" fillId="0" borderId="6" xfId="10" applyFont="1" applyBorder="1" applyAlignment="1">
      <alignment horizontal="center" vertical="center" wrapText="1"/>
    </xf>
    <xf numFmtId="0" fontId="8" fillId="6" borderId="11" xfId="0" applyFont="1" applyFill="1" applyBorder="1" applyAlignment="1">
      <alignment horizontal="right" vertical="center"/>
    </xf>
    <xf numFmtId="0" fontId="8" fillId="0" borderId="6" xfId="0" applyFont="1" applyBorder="1" applyAlignment="1">
      <alignment horizontal="center" vertical="center" shrinkToFit="1"/>
    </xf>
    <xf numFmtId="0" fontId="8" fillId="0" borderId="6" xfId="11" applyFont="1" applyFill="1" applyBorder="1" applyAlignment="1">
      <alignment horizontal="center" vertical="center" wrapText="1"/>
    </xf>
    <xf numFmtId="0" fontId="8" fillId="0" borderId="6" xfId="10" applyFont="1" applyBorder="1" applyAlignment="1">
      <alignment horizontal="center" vertical="justify" wrapText="1"/>
    </xf>
    <xf numFmtId="0" fontId="8" fillId="0" borderId="6" xfId="0" applyFont="1" applyBorder="1" applyAlignment="1">
      <alignment horizontal="left" vertical="center" wrapText="1" shrinkToFit="1"/>
    </xf>
    <xf numFmtId="3" fontId="8" fillId="6" borderId="12" xfId="0" applyNumberFormat="1" applyFont="1" applyFill="1" applyBorder="1" applyAlignment="1">
      <alignment horizontal="right" vertical="center"/>
    </xf>
    <xf numFmtId="164" fontId="8" fillId="6" borderId="8" xfId="1" applyNumberFormat="1" applyFont="1" applyFill="1" applyBorder="1" applyAlignment="1">
      <alignment horizontal="right" vertical="center"/>
    </xf>
    <xf numFmtId="164" fontId="8" fillId="0" borderId="28" xfId="0" applyNumberFormat="1" applyFont="1" applyBorder="1" applyAlignment="1">
      <alignment vertical="center"/>
    </xf>
    <xf numFmtId="0" fontId="8" fillId="0" borderId="8" xfId="10" applyFont="1" applyBorder="1" applyAlignment="1">
      <alignment horizontal="center" vertical="justify" wrapText="1"/>
    </xf>
    <xf numFmtId="164" fontId="8" fillId="0" borderId="2" xfId="1" applyNumberFormat="1" applyFont="1" applyBorder="1" applyAlignment="1">
      <alignment vertical="center"/>
    </xf>
    <xf numFmtId="164" fontId="8" fillId="0" borderId="21" xfId="0" applyNumberFormat="1" applyFont="1" applyBorder="1" applyAlignment="1">
      <alignment vertical="center"/>
    </xf>
    <xf numFmtId="0" fontId="9" fillId="2" borderId="5" xfId="0" applyFont="1" applyFill="1" applyBorder="1" applyAlignment="1">
      <alignment horizontal="center" vertical="center" wrapText="1"/>
    </xf>
    <xf numFmtId="0" fontId="6" fillId="0" borderId="5" xfId="12" applyFont="1" applyBorder="1" applyAlignment="1">
      <alignment vertical="center"/>
    </xf>
    <xf numFmtId="0" fontId="6" fillId="0" borderId="5" xfId="13" applyFont="1" applyBorder="1" applyAlignment="1">
      <alignment horizontal="left" vertical="center" wrapText="1"/>
    </xf>
    <xf numFmtId="0" fontId="6" fillId="0" borderId="5" xfId="14" applyFont="1" applyBorder="1" applyAlignment="1">
      <alignment vertical="center" wrapText="1"/>
    </xf>
    <xf numFmtId="0" fontId="6" fillId="0" borderId="5" xfId="15" applyFont="1" applyBorder="1" applyAlignment="1">
      <alignment vertical="center"/>
    </xf>
    <xf numFmtId="3" fontId="6" fillId="6" borderId="5" xfId="16" applyNumberFormat="1" applyFont="1" applyFill="1" applyBorder="1" applyAlignment="1">
      <alignment vertical="center"/>
    </xf>
    <xf numFmtId="166" fontId="6" fillId="0" borderId="5" xfId="17" applyNumberFormat="1" applyFont="1" applyBorder="1" applyAlignment="1">
      <alignment horizontal="right" vertical="center"/>
    </xf>
    <xf numFmtId="3" fontId="8" fillId="2" borderId="5" xfId="8" applyNumberFormat="1" applyFont="1" applyFill="1" applyBorder="1" applyAlignment="1">
      <alignment horizontal="center" vertical="center" wrapText="1"/>
    </xf>
    <xf numFmtId="0" fontId="6" fillId="0" borderId="5" xfId="18" applyFont="1" applyBorder="1" applyAlignment="1">
      <alignment vertical="center" wrapText="1"/>
    </xf>
    <xf numFmtId="3" fontId="8" fillId="2" borderId="4" xfId="8"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0" borderId="6" xfId="12" applyFont="1" applyBorder="1" applyAlignment="1">
      <alignment vertical="center"/>
    </xf>
    <xf numFmtId="0" fontId="6" fillId="0" borderId="6" xfId="13" applyFont="1" applyBorder="1" applyAlignment="1">
      <alignment horizontal="left" vertical="center" wrapText="1"/>
    </xf>
    <xf numFmtId="0" fontId="6" fillId="0" borderId="6" xfId="14" applyFont="1" applyBorder="1" applyAlignment="1">
      <alignment vertical="center" wrapText="1"/>
    </xf>
    <xf numFmtId="0" fontId="6" fillId="0" borderId="6" xfId="15" applyFont="1" applyBorder="1" applyAlignment="1">
      <alignment vertical="center"/>
    </xf>
    <xf numFmtId="3" fontId="6" fillId="6" borderId="6" xfId="16" applyNumberFormat="1" applyFont="1" applyFill="1" applyBorder="1" applyAlignment="1">
      <alignment vertical="center"/>
    </xf>
    <xf numFmtId="166" fontId="6" fillId="0" borderId="6" xfId="17" applyNumberFormat="1" applyFont="1" applyBorder="1" applyAlignment="1">
      <alignment horizontal="right" vertical="center"/>
    </xf>
    <xf numFmtId="3" fontId="8" fillId="2" borderId="6" xfId="8" applyNumberFormat="1" applyFont="1" applyFill="1" applyBorder="1" applyAlignment="1">
      <alignment horizontal="center" vertical="center" wrapText="1"/>
    </xf>
    <xf numFmtId="0" fontId="6" fillId="0" borderId="6" xfId="18" applyFont="1" applyBorder="1" applyAlignment="1">
      <alignment vertical="center" wrapText="1"/>
    </xf>
    <xf numFmtId="0" fontId="6"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6" fillId="0" borderId="8" xfId="12" applyFont="1" applyBorder="1" applyAlignment="1">
      <alignment vertical="center"/>
    </xf>
    <xf numFmtId="0" fontId="6" fillId="0" borderId="8" xfId="13" applyFont="1" applyBorder="1" applyAlignment="1">
      <alignment horizontal="left" vertical="center"/>
    </xf>
    <xf numFmtId="0" fontId="6" fillId="0" borderId="8" xfId="14" applyFont="1" applyBorder="1" applyAlignment="1">
      <alignment vertical="center" wrapText="1"/>
    </xf>
    <xf numFmtId="0" fontId="6" fillId="0" borderId="8" xfId="15" applyFont="1" applyBorder="1" applyAlignment="1">
      <alignment vertical="center"/>
    </xf>
    <xf numFmtId="3" fontId="6" fillId="6" borderId="8" xfId="16" applyNumberFormat="1" applyFont="1" applyFill="1" applyBorder="1" applyAlignment="1">
      <alignment vertical="center"/>
    </xf>
    <xf numFmtId="166" fontId="6" fillId="0" borderId="8" xfId="17" applyNumberFormat="1" applyFont="1" applyBorder="1" applyAlignment="1">
      <alignment horizontal="right" vertical="center"/>
    </xf>
    <xf numFmtId="3" fontId="8" fillId="2" borderId="8" xfId="8" applyNumberFormat="1" applyFont="1" applyFill="1" applyBorder="1" applyAlignment="1">
      <alignment horizontal="center" vertical="center" wrapText="1"/>
    </xf>
    <xf numFmtId="0" fontId="6" fillId="0" borderId="8" xfId="18" applyFont="1" applyBorder="1" applyAlignment="1">
      <alignment vertical="center" wrapText="1"/>
    </xf>
    <xf numFmtId="0" fontId="6" fillId="2" borderId="8" xfId="0" applyFont="1" applyFill="1" applyBorder="1" applyAlignment="1">
      <alignment horizontal="center" vertical="center" wrapText="1"/>
    </xf>
    <xf numFmtId="3" fontId="8" fillId="2" borderId="7" xfId="8"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2" borderId="2" xfId="19" applyFont="1" applyFill="1" applyBorder="1" applyAlignment="1">
      <alignment horizontal="center" vertical="center" wrapText="1"/>
    </xf>
    <xf numFmtId="0" fontId="8" fillId="2" borderId="2" xfId="8" applyFont="1" applyFill="1" applyBorder="1" applyAlignment="1">
      <alignment horizontal="left" vertical="center" wrapText="1"/>
    </xf>
    <xf numFmtId="0" fontId="8" fillId="2" borderId="2" xfId="8" applyFont="1" applyFill="1" applyBorder="1" applyAlignment="1">
      <alignment horizontal="center" vertical="center" wrapText="1"/>
    </xf>
    <xf numFmtId="3" fontId="8" fillId="2" borderId="2" xfId="8" applyNumberFormat="1" applyFont="1" applyFill="1" applyBorder="1" applyAlignment="1">
      <alignment horizontal="center" vertical="center" wrapText="1"/>
    </xf>
    <xf numFmtId="2" fontId="8" fillId="2" borderId="2" xfId="0" applyNumberFormat="1" applyFont="1" applyFill="1" applyBorder="1" applyAlignment="1">
      <alignment horizontal="center" vertical="center" wrapText="1"/>
    </xf>
    <xf numFmtId="0" fontId="8" fillId="2" borderId="2" xfId="9" applyFont="1" applyFill="1" applyBorder="1" applyAlignment="1">
      <alignment horizontal="center" vertical="center" wrapText="1"/>
    </xf>
    <xf numFmtId="0" fontId="9" fillId="0" borderId="0" xfId="0" applyFont="1"/>
    <xf numFmtId="0" fontId="9" fillId="0" borderId="0" xfId="0" applyFont="1" applyAlignment="1">
      <alignment horizontal="center"/>
    </xf>
    <xf numFmtId="0" fontId="9" fillId="0" borderId="0" xfId="0" applyFont="1" applyAlignment="1">
      <alignment horizontal="left" wrapText="1"/>
    </xf>
    <xf numFmtId="0" fontId="6" fillId="0" borderId="22" xfId="0" applyFont="1" applyFill="1" applyBorder="1" applyAlignment="1">
      <alignment horizontal="center" vertical="center"/>
    </xf>
    <xf numFmtId="0" fontId="6" fillId="0" borderId="22" xfId="0" applyFont="1" applyFill="1" applyBorder="1" applyAlignment="1">
      <alignment horizontal="left" vertical="center" wrapText="1"/>
    </xf>
    <xf numFmtId="3" fontId="8" fillId="0" borderId="22" xfId="1" applyNumberFormat="1" applyFont="1" applyFill="1" applyBorder="1" applyAlignment="1">
      <alignment horizontal="right" vertical="center" wrapText="1"/>
    </xf>
    <xf numFmtId="164" fontId="8" fillId="0" borderId="22" xfId="1" applyNumberFormat="1" applyFont="1" applyFill="1" applyBorder="1" applyAlignment="1">
      <alignment horizontal="center" vertical="center"/>
    </xf>
    <xf numFmtId="0" fontId="6" fillId="0" borderId="22" xfId="0" applyFont="1" applyFill="1" applyBorder="1" applyAlignment="1">
      <alignment horizontal="center" vertical="center" wrapText="1"/>
    </xf>
    <xf numFmtId="164" fontId="8" fillId="0" borderId="22" xfId="1" applyNumberFormat="1" applyFont="1" applyFill="1" applyBorder="1" applyAlignment="1">
      <alignment horizontal="left" vertical="center" wrapText="1"/>
    </xf>
    <xf numFmtId="0" fontId="6" fillId="0" borderId="22" xfId="0" applyFont="1" applyBorder="1" applyAlignment="1">
      <alignment vertical="center" wrapText="1"/>
    </xf>
    <xf numFmtId="3" fontId="8" fillId="0" borderId="14" xfId="1" applyNumberFormat="1" applyFont="1" applyFill="1" applyBorder="1" applyAlignment="1">
      <alignment horizontal="right" vertical="center" wrapText="1"/>
    </xf>
    <xf numFmtId="164" fontId="8" fillId="0" borderId="14" xfId="1" applyNumberFormat="1" applyFont="1" applyFill="1" applyBorder="1" applyAlignment="1">
      <alignment horizontal="left" vertical="center" wrapText="1"/>
    </xf>
    <xf numFmtId="0" fontId="6" fillId="0" borderId="14" xfId="0" applyFont="1" applyBorder="1" applyAlignment="1">
      <alignment vertical="center" wrapText="1"/>
    </xf>
    <xf numFmtId="2" fontId="8" fillId="0" borderId="14" xfId="0" quotePrefix="1" applyNumberFormat="1" applyFont="1" applyFill="1" applyBorder="1" applyAlignment="1">
      <alignment horizontal="center" vertical="center" wrapText="1"/>
    </xf>
    <xf numFmtId="0" fontId="6" fillId="0" borderId="14" xfId="0" applyFont="1" applyFill="1" applyBorder="1" applyAlignment="1">
      <alignment horizontal="left" vertical="center"/>
    </xf>
    <xf numFmtId="0" fontId="8" fillId="0" borderId="14" xfId="5" applyFont="1" applyFill="1" applyBorder="1" applyAlignment="1">
      <alignment horizontal="center" vertical="center" wrapText="1"/>
    </xf>
    <xf numFmtId="2" fontId="8" fillId="0" borderId="14" xfId="0" applyNumberFormat="1" applyFont="1" applyFill="1" applyBorder="1" applyAlignment="1">
      <alignment horizontal="center" vertical="center" wrapText="1"/>
    </xf>
    <xf numFmtId="3" fontId="6" fillId="0" borderId="14" xfId="0" applyNumberFormat="1" applyFont="1" applyFill="1" applyBorder="1" applyAlignment="1">
      <alignment horizontal="right" vertical="center" wrapText="1"/>
    </xf>
    <xf numFmtId="164" fontId="8" fillId="0" borderId="14" xfId="1" applyNumberFormat="1" applyFont="1" applyFill="1" applyBorder="1" applyAlignment="1">
      <alignment horizontal="left" vertical="center"/>
    </xf>
    <xf numFmtId="0" fontId="6" fillId="0" borderId="23" xfId="0" applyFont="1" applyFill="1" applyBorder="1" applyAlignment="1">
      <alignment horizontal="center" vertical="center"/>
    </xf>
    <xf numFmtId="0" fontId="6" fillId="0" borderId="23" xfId="0" applyFont="1" applyFill="1" applyBorder="1" applyAlignment="1">
      <alignment horizontal="left" vertical="center" wrapText="1"/>
    </xf>
    <xf numFmtId="3" fontId="8" fillId="0" borderId="23" xfId="1" applyNumberFormat="1" applyFont="1" applyFill="1" applyBorder="1" applyAlignment="1">
      <alignment horizontal="right" vertical="center" wrapText="1"/>
    </xf>
    <xf numFmtId="164" fontId="8" fillId="0" borderId="23" xfId="1" applyNumberFormat="1" applyFont="1" applyFill="1" applyBorder="1" applyAlignment="1">
      <alignment horizontal="center" vertical="center"/>
    </xf>
    <xf numFmtId="164" fontId="9" fillId="3" borderId="23" xfId="1" applyNumberFormat="1" applyFont="1" applyFill="1" applyBorder="1" applyAlignment="1">
      <alignment horizontal="center"/>
    </xf>
    <xf numFmtId="164" fontId="8" fillId="0" borderId="23" xfId="1" applyNumberFormat="1" applyFont="1" applyFill="1" applyBorder="1" applyAlignment="1"/>
    <xf numFmtId="164" fontId="8" fillId="0" borderId="23" xfId="1" applyNumberFormat="1" applyFont="1" applyFill="1" applyBorder="1"/>
    <xf numFmtId="164" fontId="8" fillId="0" borderId="23" xfId="1" applyNumberFormat="1" applyFont="1" applyBorder="1" applyAlignment="1">
      <alignment horizontal="center" vertical="center"/>
    </xf>
    <xf numFmtId="0" fontId="6" fillId="0" borderId="23" xfId="0" applyFont="1" applyFill="1" applyBorder="1" applyAlignment="1">
      <alignment horizontal="center" vertical="center" wrapText="1"/>
    </xf>
    <xf numFmtId="164" fontId="8" fillId="0" borderId="23" xfId="1" applyNumberFormat="1" applyFont="1" applyFill="1" applyBorder="1" applyAlignment="1">
      <alignment horizontal="left" vertical="center" wrapText="1"/>
    </xf>
    <xf numFmtId="0" fontId="6" fillId="0" borderId="23" xfId="0" applyFont="1" applyBorder="1" applyAlignment="1">
      <alignment vertical="center" wrapText="1"/>
    </xf>
    <xf numFmtId="166" fontId="6" fillId="0" borderId="2" xfId="1" applyNumberFormat="1" applyFont="1" applyFill="1" applyBorder="1" applyAlignment="1">
      <alignment vertical="center"/>
    </xf>
    <xf numFmtId="0" fontId="6" fillId="0" borderId="2" xfId="0" applyFont="1" applyFill="1" applyBorder="1" applyAlignment="1">
      <alignment vertical="center"/>
    </xf>
    <xf numFmtId="0" fontId="6" fillId="0" borderId="2" xfId="0" applyFont="1" applyFill="1" applyBorder="1" applyAlignment="1">
      <alignment horizontal="center" vertical="center" wrapText="1"/>
    </xf>
    <xf numFmtId="0" fontId="6" fillId="0" borderId="32" xfId="0" applyFont="1" applyFill="1" applyBorder="1" applyAlignment="1">
      <alignment horizontal="center" vertical="center"/>
    </xf>
    <xf numFmtId="0" fontId="6" fillId="0" borderId="33" xfId="0" applyFont="1" applyFill="1" applyBorder="1" applyAlignment="1">
      <alignment vertical="center"/>
    </xf>
    <xf numFmtId="0" fontId="6" fillId="0" borderId="33" xfId="0" applyFont="1" applyFill="1" applyBorder="1" applyAlignment="1">
      <alignment horizontal="center" vertical="center" wrapText="1"/>
    </xf>
    <xf numFmtId="0" fontId="6" fillId="0" borderId="33"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34" xfId="0" applyFont="1" applyBorder="1"/>
    <xf numFmtId="0" fontId="8" fillId="0" borderId="13" xfId="0" applyFont="1" applyBorder="1"/>
    <xf numFmtId="0" fontId="8" fillId="0" borderId="13" xfId="0" applyFont="1" applyFill="1" applyBorder="1" applyAlignment="1">
      <alignment horizontal="left" wrapText="1"/>
    </xf>
    <xf numFmtId="0" fontId="8" fillId="0" borderId="13" xfId="0" applyFont="1" applyFill="1" applyBorder="1"/>
    <xf numFmtId="167" fontId="8" fillId="0" borderId="13" xfId="1" applyNumberFormat="1" applyFont="1" applyFill="1" applyBorder="1"/>
    <xf numFmtId="164" fontId="9" fillId="0" borderId="13" xfId="1" applyNumberFormat="1" applyFont="1" applyBorder="1" applyAlignment="1">
      <alignment horizontal="center" vertical="center"/>
    </xf>
    <xf numFmtId="164" fontId="9" fillId="3" borderId="1" xfId="1" applyNumberFormat="1" applyFont="1" applyFill="1" applyBorder="1" applyAlignment="1">
      <alignment horizontal="center"/>
    </xf>
    <xf numFmtId="164" fontId="8" fillId="0" borderId="5" xfId="1" applyNumberFormat="1" applyFont="1" applyFill="1" applyBorder="1" applyAlignment="1"/>
    <xf numFmtId="0" fontId="8" fillId="0" borderId="13" xfId="0" applyFont="1" applyFill="1" applyBorder="1" applyAlignment="1">
      <alignment wrapText="1"/>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164" fontId="9" fillId="0" borderId="35" xfId="1" applyNumberFormat="1" applyFont="1" applyBorder="1" applyAlignment="1">
      <alignment horizontal="left" vertical="center" wrapText="1"/>
    </xf>
    <xf numFmtId="0" fontId="8" fillId="0" borderId="36" xfId="0" applyFont="1" applyBorder="1"/>
    <xf numFmtId="0" fontId="8" fillId="0" borderId="14" xfId="0" applyFont="1" applyBorder="1"/>
    <xf numFmtId="0" fontId="8" fillId="0" borderId="14" xfId="0" applyFont="1" applyFill="1" applyBorder="1" applyAlignment="1">
      <alignment horizontal="left" wrapText="1"/>
    </xf>
    <xf numFmtId="0" fontId="8" fillId="0" borderId="14" xfId="0" applyFont="1" applyFill="1" applyBorder="1"/>
    <xf numFmtId="167" fontId="8" fillId="0" borderId="14" xfId="1" applyNumberFormat="1" applyFont="1" applyFill="1" applyBorder="1"/>
    <xf numFmtId="164" fontId="9" fillId="0" borderId="14" xfId="1" applyNumberFormat="1" applyFont="1" applyBorder="1" applyAlignment="1">
      <alignment horizontal="center" vertical="center"/>
    </xf>
    <xf numFmtId="164" fontId="8" fillId="0" borderId="6" xfId="1" applyNumberFormat="1" applyFont="1" applyFill="1" applyBorder="1" applyAlignment="1"/>
    <xf numFmtId="0" fontId="8" fillId="0" borderId="14" xfId="0" applyFont="1" applyFill="1" applyBorder="1" applyAlignment="1">
      <alignment wrapText="1"/>
    </xf>
    <xf numFmtId="0" fontId="9" fillId="0" borderId="14" xfId="0" applyFont="1" applyBorder="1" applyAlignment="1">
      <alignment horizontal="center" vertical="center" wrapText="1"/>
    </xf>
    <xf numFmtId="0" fontId="9" fillId="0" borderId="14" xfId="0" applyFont="1" applyBorder="1" applyAlignment="1">
      <alignment horizontal="center" vertical="center"/>
    </xf>
    <xf numFmtId="164" fontId="9" fillId="0" borderId="37" xfId="1" applyNumberFormat="1" applyFont="1" applyBorder="1" applyAlignment="1">
      <alignment horizontal="left" vertical="center" wrapText="1"/>
    </xf>
    <xf numFmtId="0" fontId="9" fillId="0" borderId="14" xfId="0" applyFont="1" applyBorder="1" applyAlignment="1">
      <alignment horizontal="center" wrapText="1"/>
    </xf>
    <xf numFmtId="0" fontId="8" fillId="4" borderId="36" xfId="0" applyFont="1" applyFill="1" applyBorder="1"/>
    <xf numFmtId="0" fontId="8" fillId="4" borderId="14" xfId="0" applyFont="1" applyFill="1" applyBorder="1"/>
    <xf numFmtId="0" fontId="8" fillId="4" borderId="14" xfId="0" applyFont="1" applyFill="1" applyBorder="1" applyAlignment="1">
      <alignment horizontal="left" wrapText="1"/>
    </xf>
    <xf numFmtId="164" fontId="8" fillId="4" borderId="6" xfId="1" applyNumberFormat="1" applyFont="1" applyFill="1" applyBorder="1" applyAlignment="1"/>
    <xf numFmtId="0" fontId="8" fillId="4" borderId="14" xfId="0" applyFont="1" applyFill="1" applyBorder="1" applyAlignment="1">
      <alignment wrapText="1"/>
    </xf>
    <xf numFmtId="0" fontId="9" fillId="4" borderId="14" xfId="0" applyFont="1" applyFill="1" applyBorder="1" applyAlignment="1">
      <alignment horizontal="center" wrapText="1"/>
    </xf>
    <xf numFmtId="0" fontId="9" fillId="4" borderId="14" xfId="0" applyFont="1" applyFill="1" applyBorder="1" applyAlignment="1">
      <alignment horizontal="center" vertical="center"/>
    </xf>
    <xf numFmtId="0" fontId="8" fillId="4" borderId="6" xfId="0" applyFont="1" applyFill="1" applyBorder="1" applyAlignment="1">
      <alignment vertical="center" wrapText="1"/>
    </xf>
    <xf numFmtId="0" fontId="8" fillId="4" borderId="10" xfId="0" applyFont="1" applyFill="1" applyBorder="1" applyAlignment="1">
      <alignment vertical="center" wrapText="1"/>
    </xf>
    <xf numFmtId="164" fontId="9" fillId="4" borderId="37" xfId="1" applyNumberFormat="1" applyFont="1" applyFill="1" applyBorder="1" applyAlignment="1">
      <alignment horizontal="left" vertical="center" wrapText="1"/>
    </xf>
    <xf numFmtId="0" fontId="8" fillId="4" borderId="0" xfId="0" applyFont="1" applyFill="1"/>
    <xf numFmtId="0" fontId="8" fillId="0" borderId="14" xfId="0" applyFont="1" applyBorder="1" applyAlignment="1">
      <alignment horizontal="left" wrapText="1"/>
    </xf>
    <xf numFmtId="167" fontId="8" fillId="0" borderId="14" xfId="1" applyNumberFormat="1" applyFont="1" applyBorder="1"/>
    <xf numFmtId="0" fontId="8" fillId="0" borderId="14" xfId="0" applyFont="1" applyBorder="1" applyAlignment="1">
      <alignment wrapText="1"/>
    </xf>
    <xf numFmtId="0" fontId="8" fillId="0" borderId="38" xfId="0" applyFont="1" applyBorder="1"/>
    <xf numFmtId="0" fontId="8" fillId="0" borderId="15" xfId="0" applyFont="1" applyBorder="1"/>
    <xf numFmtId="0" fontId="8" fillId="0" borderId="15" xfId="0" applyFont="1" applyBorder="1" applyAlignment="1">
      <alignment horizontal="left" wrapText="1"/>
    </xf>
    <xf numFmtId="167" fontId="8" fillId="0" borderId="15" xfId="1" applyNumberFormat="1" applyFont="1" applyBorder="1"/>
    <xf numFmtId="164" fontId="9" fillId="0" borderId="15" xfId="1" applyNumberFormat="1" applyFont="1" applyBorder="1" applyAlignment="1">
      <alignment horizontal="center" vertical="center"/>
    </xf>
    <xf numFmtId="164" fontId="8" fillId="0" borderId="7" xfId="1" applyNumberFormat="1" applyFont="1" applyFill="1" applyBorder="1" applyAlignment="1"/>
    <xf numFmtId="0" fontId="8" fillId="0" borderId="15" xfId="0" applyFont="1" applyFill="1" applyBorder="1" applyAlignment="1">
      <alignment wrapText="1"/>
    </xf>
    <xf numFmtId="0" fontId="9" fillId="0" borderId="15" xfId="0" applyFont="1" applyBorder="1" applyAlignment="1">
      <alignment horizontal="center" wrapText="1"/>
    </xf>
    <xf numFmtId="0" fontId="9" fillId="0" borderId="15" xfId="0" applyFont="1" applyBorder="1" applyAlignment="1">
      <alignment horizontal="center" vertical="center"/>
    </xf>
    <xf numFmtId="164" fontId="9" fillId="0" borderId="39" xfId="1" applyNumberFormat="1" applyFont="1" applyBorder="1" applyAlignment="1">
      <alignment horizontal="left" vertical="center" wrapText="1"/>
    </xf>
    <xf numFmtId="0" fontId="8" fillId="0" borderId="2" xfId="0" applyFont="1" applyFill="1" applyBorder="1" applyAlignment="1">
      <alignment horizontal="left"/>
    </xf>
    <xf numFmtId="164" fontId="8" fillId="0" borderId="2" xfId="0" applyNumberFormat="1" applyFont="1" applyBorder="1"/>
    <xf numFmtId="0" fontId="8" fillId="0" borderId="2" xfId="0" applyFont="1" applyBorder="1" applyAlignment="1">
      <alignment wrapText="1"/>
    </xf>
    <xf numFmtId="164" fontId="8" fillId="0" borderId="2" xfId="1" applyNumberFormat="1" applyFont="1" applyBorder="1" applyAlignment="1">
      <alignment horizontal="left"/>
    </xf>
    <xf numFmtId="164" fontId="8" fillId="0" borderId="0" xfId="1" applyNumberFormat="1" applyFont="1" applyAlignment="1">
      <alignment horizontal="left"/>
    </xf>
    <xf numFmtId="0" fontId="20" fillId="0" borderId="22" xfId="0" applyFont="1" applyBorder="1" applyAlignment="1">
      <alignment horizontal="center"/>
    </xf>
    <xf numFmtId="0" fontId="20" fillId="0" borderId="22" xfId="0" applyFont="1" applyBorder="1" applyAlignment="1">
      <alignment horizontal="left" wrapText="1"/>
    </xf>
    <xf numFmtId="0" fontId="20" fillId="6" borderId="22" xfId="0" applyFont="1" applyFill="1" applyBorder="1" applyAlignment="1">
      <alignment horizontal="center"/>
    </xf>
    <xf numFmtId="3" fontId="20" fillId="0" borderId="22" xfId="0" applyNumberFormat="1" applyFont="1" applyBorder="1" applyAlignment="1">
      <alignment horizontal="right"/>
    </xf>
    <xf numFmtId="0" fontId="6" fillId="0" borderId="22" xfId="0" applyFont="1" applyBorder="1" applyAlignment="1">
      <alignment horizontal="center"/>
    </xf>
    <xf numFmtId="0" fontId="20" fillId="0" borderId="14" xfId="0" applyFont="1" applyBorder="1" applyAlignment="1">
      <alignment horizontal="center"/>
    </xf>
    <xf numFmtId="0" fontId="20" fillId="0" borderId="14" xfId="0" applyFont="1" applyBorder="1" applyAlignment="1">
      <alignment horizontal="left" wrapText="1"/>
    </xf>
    <xf numFmtId="0" fontId="20" fillId="6" borderId="14" xfId="0" applyFont="1" applyFill="1" applyBorder="1" applyAlignment="1">
      <alignment horizontal="center"/>
    </xf>
    <xf numFmtId="3" fontId="20" fillId="0" borderId="14" xfId="0" applyNumberFormat="1" applyFont="1" applyBorder="1" applyAlignment="1">
      <alignment horizontal="right"/>
    </xf>
    <xf numFmtId="164" fontId="9" fillId="0" borderId="14" xfId="1" applyNumberFormat="1" applyFont="1" applyFill="1" applyBorder="1"/>
    <xf numFmtId="0" fontId="6" fillId="0" borderId="14" xfId="0" applyFont="1" applyBorder="1" applyAlignment="1">
      <alignment horizontal="center"/>
    </xf>
    <xf numFmtId="3" fontId="20" fillId="6" borderId="14" xfId="0" applyNumberFormat="1" applyFont="1" applyFill="1" applyBorder="1" applyAlignment="1">
      <alignment horizontal="center"/>
    </xf>
    <xf numFmtId="0" fontId="6" fillId="0" borderId="14" xfId="0" applyFont="1" applyBorder="1" applyAlignment="1">
      <alignment horizontal="center" wrapText="1"/>
    </xf>
    <xf numFmtId="0" fontId="20" fillId="0" borderId="23" xfId="0" applyFont="1" applyBorder="1" applyAlignment="1">
      <alignment horizontal="center"/>
    </xf>
    <xf numFmtId="0" fontId="20" fillId="0" borderId="23" xfId="0" applyFont="1" applyBorder="1" applyAlignment="1">
      <alignment horizontal="left"/>
    </xf>
    <xf numFmtId="0" fontId="20" fillId="6" borderId="23" xfId="0" applyFont="1" applyFill="1" applyBorder="1" applyAlignment="1">
      <alignment horizontal="center"/>
    </xf>
    <xf numFmtId="3" fontId="20" fillId="0" borderId="23" xfId="0" applyNumberFormat="1" applyFont="1" applyBorder="1" applyAlignment="1">
      <alignment horizontal="right"/>
    </xf>
    <xf numFmtId="0" fontId="6" fillId="0" borderId="23" xfId="0" applyFont="1" applyBorder="1"/>
    <xf numFmtId="0" fontId="6" fillId="0" borderId="23" xfId="0" applyFont="1" applyBorder="1" applyAlignment="1">
      <alignment horizontal="center"/>
    </xf>
    <xf numFmtId="0" fontId="6" fillId="0" borderId="0" xfId="0" applyFont="1" applyAlignment="1">
      <alignment horizontal="center"/>
    </xf>
    <xf numFmtId="0" fontId="14" fillId="0" borderId="0" xfId="0" applyFont="1" applyAlignment="1">
      <alignment horizontal="center"/>
    </xf>
    <xf numFmtId="0" fontId="14" fillId="0" borderId="0" xfId="0" applyFont="1" applyAlignment="1">
      <alignment vertical="center" wrapText="1"/>
    </xf>
    <xf numFmtId="3" fontId="6" fillId="0" borderId="22" xfId="1" applyNumberFormat="1" applyFont="1" applyBorder="1" applyAlignment="1">
      <alignment horizontal="center" vertical="center" wrapText="1"/>
    </xf>
    <xf numFmtId="0" fontId="6" fillId="0" borderId="0" xfId="0" applyFont="1" applyAlignment="1">
      <alignment vertical="center"/>
    </xf>
    <xf numFmtId="3" fontId="6" fillId="0" borderId="14" xfId="1" applyNumberFormat="1" applyFont="1" applyBorder="1" applyAlignment="1">
      <alignment horizontal="center" vertical="center" wrapText="1"/>
    </xf>
    <xf numFmtId="3" fontId="6" fillId="2" borderId="14" xfId="1" applyNumberFormat="1" applyFont="1" applyFill="1" applyBorder="1" applyAlignment="1">
      <alignment horizontal="center" vertical="center" wrapText="1"/>
    </xf>
    <xf numFmtId="0" fontId="6" fillId="2" borderId="0" xfId="0" applyFont="1" applyFill="1" applyAlignment="1">
      <alignment vertical="center"/>
    </xf>
    <xf numFmtId="0" fontId="6" fillId="0" borderId="15" xfId="0" applyFont="1" applyBorder="1" applyAlignment="1">
      <alignment horizontal="center" vertical="center" wrapText="1"/>
    </xf>
    <xf numFmtId="0" fontId="6" fillId="0" borderId="15" xfId="0" applyFont="1" applyBorder="1" applyAlignment="1">
      <alignment horizontal="left" vertical="center" wrapText="1"/>
    </xf>
    <xf numFmtId="3" fontId="6" fillId="0" borderId="15" xfId="1" applyNumberFormat="1" applyFont="1" applyBorder="1" applyAlignment="1">
      <alignment horizontal="center" vertical="center" wrapText="1"/>
    </xf>
    <xf numFmtId="164" fontId="8" fillId="0" borderId="15" xfId="1" applyNumberFormat="1" applyFont="1" applyBorder="1" applyAlignment="1">
      <alignment horizontal="center" vertical="center"/>
    </xf>
    <xf numFmtId="3" fontId="6" fillId="0" borderId="2" xfId="1" applyNumberFormat="1" applyFont="1" applyBorder="1" applyAlignment="1">
      <alignment vertical="center" wrapText="1"/>
    </xf>
    <xf numFmtId="0" fontId="6" fillId="0" borderId="2" xfId="0" applyFont="1" applyBorder="1" applyAlignment="1">
      <alignment horizontal="center" vertical="center" wrapText="1"/>
    </xf>
    <xf numFmtId="3" fontId="6" fillId="0" borderId="2" xfId="1" applyNumberFormat="1" applyFont="1" applyBorder="1" applyAlignment="1">
      <alignment horizontal="center" vertical="center" wrapText="1"/>
    </xf>
    <xf numFmtId="0" fontId="9" fillId="0" borderId="5" xfId="4" applyFont="1" applyBorder="1" applyAlignment="1">
      <alignment horizontal="left" vertical="center" wrapText="1"/>
    </xf>
    <xf numFmtId="0" fontId="9" fillId="0" borderId="5" xfId="4" applyFont="1" applyBorder="1" applyAlignment="1">
      <alignment horizontal="center" vertical="center"/>
    </xf>
    <xf numFmtId="3" fontId="9" fillId="0" borderId="5" xfId="1" applyNumberFormat="1" applyFont="1" applyBorder="1" applyAlignment="1">
      <alignment horizontal="right" vertical="center"/>
    </xf>
    <xf numFmtId="165" fontId="8" fillId="0" borderId="5" xfId="1" applyNumberFormat="1" applyFont="1" applyBorder="1" applyAlignment="1">
      <alignment horizontal="right" vertical="center"/>
    </xf>
    <xf numFmtId="168" fontId="8" fillId="0" borderId="5" xfId="0" applyNumberFormat="1" applyFont="1" applyBorder="1" applyAlignment="1">
      <alignment horizontal="center" vertical="center"/>
    </xf>
    <xf numFmtId="164" fontId="9" fillId="0" borderId="5" xfId="1" applyNumberFormat="1" applyFont="1" applyFill="1" applyBorder="1"/>
    <xf numFmtId="0" fontId="9" fillId="0" borderId="5" xfId="4" applyFont="1" applyBorder="1" applyAlignment="1">
      <alignment horizontal="center" vertical="center" wrapText="1"/>
    </xf>
    <xf numFmtId="0" fontId="9" fillId="0" borderId="6" xfId="4" applyFont="1" applyBorder="1" applyAlignment="1">
      <alignment horizontal="left" vertical="center" wrapText="1"/>
    </xf>
    <xf numFmtId="0" fontId="9" fillId="0" borderId="6" xfId="4" applyFont="1" applyBorder="1" applyAlignment="1">
      <alignment horizontal="center" vertical="center"/>
    </xf>
    <xf numFmtId="3" fontId="9" fillId="0" borderId="6" xfId="1" applyNumberFormat="1" applyFont="1" applyBorder="1" applyAlignment="1">
      <alignment horizontal="right" vertical="center"/>
    </xf>
    <xf numFmtId="164" fontId="8" fillId="0" borderId="6" xfId="1" applyNumberFormat="1" applyFont="1" applyBorder="1" applyAlignment="1">
      <alignment horizontal="right" vertical="center"/>
    </xf>
    <xf numFmtId="168" fontId="8" fillId="0" borderId="6" xfId="0" applyNumberFormat="1" applyFont="1" applyBorder="1" applyAlignment="1">
      <alignment horizontal="center" vertical="center"/>
    </xf>
    <xf numFmtId="164" fontId="9" fillId="0" borderId="6" xfId="1" applyNumberFormat="1" applyFont="1" applyFill="1" applyBorder="1"/>
    <xf numFmtId="0" fontId="9" fillId="0" borderId="6" xfId="4" applyFont="1" applyBorder="1" applyAlignment="1">
      <alignment horizontal="center" vertical="center" wrapText="1"/>
    </xf>
    <xf numFmtId="3" fontId="9" fillId="0" borderId="6" xfId="4" applyNumberFormat="1" applyFont="1" applyBorder="1" applyAlignment="1">
      <alignment horizontal="right" vertical="center"/>
    </xf>
    <xf numFmtId="0" fontId="9" fillId="0" borderId="6" xfId="7" applyFont="1" applyBorder="1" applyAlignment="1">
      <alignment horizontal="left" vertical="center" wrapText="1"/>
    </xf>
    <xf numFmtId="0" fontId="9" fillId="0" borderId="6" xfId="7" applyFont="1" applyBorder="1" applyAlignment="1">
      <alignment horizontal="center" vertical="center" wrapText="1"/>
    </xf>
    <xf numFmtId="0" fontId="9" fillId="0" borderId="6" xfId="7" applyFont="1" applyFill="1" applyBorder="1" applyAlignment="1">
      <alignment horizontal="left" vertical="center"/>
    </xf>
    <xf numFmtId="0" fontId="9" fillId="0" borderId="6" xfId="7" applyFont="1" applyBorder="1" applyAlignment="1">
      <alignment horizontal="center" vertical="center"/>
    </xf>
    <xf numFmtId="3" fontId="9" fillId="0" borderId="6" xfId="7" applyNumberFormat="1" applyFont="1" applyFill="1" applyBorder="1" applyAlignment="1">
      <alignment horizontal="right" vertical="center"/>
    </xf>
    <xf numFmtId="0" fontId="9" fillId="0" borderId="6" xfId="7" applyFont="1" applyBorder="1" applyAlignment="1">
      <alignment horizontal="left" vertical="center"/>
    </xf>
    <xf numFmtId="0" fontId="9" fillId="0" borderId="6" xfId="20" applyFont="1" applyBorder="1" applyAlignment="1">
      <alignment horizontal="left" vertical="center" wrapText="1"/>
    </xf>
    <xf numFmtId="0" fontId="9" fillId="0" borderId="6" xfId="20" applyFont="1" applyBorder="1" applyAlignment="1">
      <alignment horizontal="center" vertical="center"/>
    </xf>
    <xf numFmtId="0" fontId="9" fillId="0" borderId="6" xfId="20" applyFont="1" applyBorder="1" applyAlignment="1">
      <alignment horizontal="right" vertical="center"/>
    </xf>
    <xf numFmtId="0" fontId="9" fillId="0" borderId="6" xfId="20" applyFont="1" applyBorder="1" applyAlignment="1">
      <alignment horizontal="center" vertical="center" wrapText="1"/>
    </xf>
    <xf numFmtId="0" fontId="8" fillId="4" borderId="6" xfId="0" applyFont="1" applyFill="1" applyBorder="1" applyAlignment="1">
      <alignment horizontal="center" vertical="center"/>
    </xf>
    <xf numFmtId="0" fontId="9" fillId="4" borderId="6" xfId="20" applyFont="1" applyFill="1" applyBorder="1" applyAlignment="1">
      <alignment horizontal="left" vertical="center" wrapText="1"/>
    </xf>
    <xf numFmtId="0" fontId="9" fillId="4" borderId="6" xfId="20" applyFont="1" applyFill="1" applyBorder="1" applyAlignment="1">
      <alignment horizontal="center" vertical="center" wrapText="1"/>
    </xf>
    <xf numFmtId="0" fontId="9" fillId="4" borderId="6" xfId="20" applyFont="1" applyFill="1" applyBorder="1" applyAlignment="1">
      <alignment horizontal="right" vertical="center"/>
    </xf>
    <xf numFmtId="164" fontId="9" fillId="4" borderId="6" xfId="1" applyNumberFormat="1" applyFont="1" applyFill="1" applyBorder="1" applyAlignment="1">
      <alignment horizontal="right" vertical="center"/>
    </xf>
    <xf numFmtId="3" fontId="9" fillId="0" borderId="6" xfId="7" applyNumberFormat="1" applyFont="1" applyBorder="1" applyAlignment="1">
      <alignment horizontal="right" vertical="center"/>
    </xf>
    <xf numFmtId="0" fontId="9" fillId="0" borderId="6" xfId="7" applyFont="1" applyFill="1" applyBorder="1" applyAlignment="1">
      <alignment horizontal="left" vertical="center" wrapText="1"/>
    </xf>
    <xf numFmtId="164" fontId="9" fillId="0" borderId="7" xfId="1" applyNumberFormat="1" applyFont="1" applyFill="1" applyBorder="1"/>
    <xf numFmtId="0" fontId="9" fillId="0" borderId="8" xfId="7" applyFont="1" applyBorder="1" applyAlignment="1">
      <alignment horizontal="left" vertical="center" wrapText="1"/>
    </xf>
    <xf numFmtId="0" fontId="9" fillId="0" borderId="8" xfId="4" applyFont="1" applyBorder="1" applyAlignment="1">
      <alignment horizontal="center" vertical="center"/>
    </xf>
    <xf numFmtId="3" fontId="9" fillId="0" borderId="8" xfId="1" applyNumberFormat="1" applyFont="1" applyBorder="1" applyAlignment="1">
      <alignment horizontal="right" vertical="center"/>
    </xf>
    <xf numFmtId="164" fontId="8" fillId="0" borderId="8" xfId="1" applyNumberFormat="1" applyFont="1" applyBorder="1" applyAlignment="1">
      <alignment horizontal="right" vertical="center"/>
    </xf>
    <xf numFmtId="168" fontId="8" fillId="0" borderId="8" xfId="0" applyNumberFormat="1" applyFont="1" applyBorder="1" applyAlignment="1">
      <alignment horizontal="center" vertical="center"/>
    </xf>
    <xf numFmtId="0" fontId="9" fillId="0" borderId="8" xfId="4" applyFont="1" applyBorder="1" applyAlignment="1">
      <alignment horizontal="center" vertical="center" wrapText="1"/>
    </xf>
    <xf numFmtId="0" fontId="10" fillId="0" borderId="2" xfId="0" applyFont="1" applyBorder="1" applyAlignment="1">
      <alignment vertical="center" wrapText="1"/>
    </xf>
    <xf numFmtId="0" fontId="10" fillId="0" borderId="2" xfId="0" applyFont="1" applyBorder="1" applyAlignment="1">
      <alignment horizontal="left" vertical="center" wrapText="1"/>
    </xf>
    <xf numFmtId="168" fontId="8" fillId="0" borderId="2" xfId="0" applyNumberFormat="1" applyFont="1" applyBorder="1" applyAlignment="1">
      <alignment horizontal="center" vertical="center"/>
    </xf>
    <xf numFmtId="0" fontId="8" fillId="0" borderId="5" xfId="0" applyFont="1" applyFill="1" applyBorder="1" applyAlignment="1">
      <alignment horizontal="center" vertical="center"/>
    </xf>
    <xf numFmtId="0" fontId="8" fillId="0" borderId="5" xfId="0" applyFont="1" applyFill="1" applyBorder="1" applyAlignment="1">
      <alignment horizontal="left" vertical="center" wrapText="1"/>
    </xf>
    <xf numFmtId="0" fontId="8" fillId="0" borderId="5" xfId="0" applyFont="1" applyFill="1" applyBorder="1" applyAlignment="1">
      <alignment horizontal="center" vertical="center" wrapText="1"/>
    </xf>
    <xf numFmtId="169" fontId="8" fillId="0" borderId="5" xfId="1" applyNumberFormat="1" applyFont="1" applyFill="1" applyBorder="1" applyAlignment="1">
      <alignment horizontal="right" vertical="center"/>
    </xf>
    <xf numFmtId="169" fontId="8" fillId="0" borderId="5" xfId="0" applyNumberFormat="1" applyFont="1" applyFill="1" applyBorder="1" applyAlignment="1">
      <alignment horizontal="right" vertical="center"/>
    </xf>
    <xf numFmtId="164" fontId="9" fillId="0" borderId="4" xfId="1" applyNumberFormat="1" applyFont="1" applyFill="1" applyBorder="1"/>
    <xf numFmtId="0" fontId="6" fillId="0" borderId="5"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6" xfId="0" applyFont="1" applyFill="1" applyBorder="1" applyAlignment="1">
      <alignment horizontal="center" vertical="center" wrapText="1"/>
    </xf>
    <xf numFmtId="169" fontId="8" fillId="0" borderId="6" xfId="1" applyNumberFormat="1" applyFont="1" applyFill="1" applyBorder="1" applyAlignment="1">
      <alignment horizontal="right" vertical="center"/>
    </xf>
    <xf numFmtId="169" fontId="8" fillId="0" borderId="6" xfId="0" applyNumberFormat="1" applyFont="1" applyFill="1" applyBorder="1" applyAlignment="1">
      <alignment horizontal="right" vertical="center"/>
    </xf>
    <xf numFmtId="0" fontId="6" fillId="0" borderId="6" xfId="0" applyFont="1" applyFill="1" applyBorder="1" applyAlignment="1">
      <alignment horizontal="center" vertical="center" wrapText="1"/>
    </xf>
    <xf numFmtId="0" fontId="8" fillId="0" borderId="6" xfId="8"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8" xfId="0" applyFont="1" applyFill="1" applyBorder="1" applyAlignment="1">
      <alignment horizontal="left" vertical="center" wrapText="1"/>
    </xf>
    <xf numFmtId="0" fontId="8" fillId="0" borderId="8" xfId="0" applyFont="1" applyFill="1" applyBorder="1" applyAlignment="1">
      <alignment horizontal="center" vertical="center" wrapText="1"/>
    </xf>
    <xf numFmtId="169" fontId="8" fillId="0" borderId="8" xfId="1" applyNumberFormat="1" applyFont="1" applyFill="1" applyBorder="1" applyAlignment="1">
      <alignment horizontal="right" vertical="center"/>
    </xf>
    <xf numFmtId="169" fontId="8" fillId="0" borderId="7" xfId="0" applyNumberFormat="1" applyFont="1" applyFill="1" applyBorder="1" applyAlignment="1">
      <alignment horizontal="right" vertical="center"/>
    </xf>
    <xf numFmtId="0" fontId="8"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3" xfId="0" applyFont="1" applyFill="1" applyBorder="1" applyAlignment="1">
      <alignment horizontal="right" vertical="center"/>
    </xf>
    <xf numFmtId="169" fontId="8" fillId="0" borderId="2" xfId="0" applyNumberFormat="1" applyFont="1" applyFill="1" applyBorder="1" applyAlignment="1">
      <alignment horizontal="right" vertical="center"/>
    </xf>
    <xf numFmtId="0" fontId="8" fillId="0" borderId="2" xfId="0" applyFont="1" applyFill="1" applyBorder="1"/>
    <xf numFmtId="0" fontId="8" fillId="0" borderId="0" xfId="0" applyFont="1" applyFill="1" applyAlignment="1">
      <alignment horizontal="justify" vertical="center"/>
    </xf>
    <xf numFmtId="0" fontId="10" fillId="0" borderId="0" xfId="0" applyFont="1" applyFill="1" applyAlignment="1">
      <alignment horizontal="left" vertical="center" wrapText="1"/>
    </xf>
    <xf numFmtId="0" fontId="8" fillId="0" borderId="0" xfId="0" applyFont="1" applyFill="1" applyAlignment="1">
      <alignment horizontal="justify" vertical="center" wrapText="1"/>
    </xf>
    <xf numFmtId="0" fontId="8" fillId="0" borderId="0" xfId="0" applyFont="1" applyFill="1" applyAlignment="1">
      <alignment horizontal="center" vertical="center" wrapText="1"/>
    </xf>
    <xf numFmtId="0" fontId="6" fillId="0" borderId="2" xfId="0" applyFont="1" applyFill="1" applyBorder="1" applyAlignment="1">
      <alignment vertical="center" wrapText="1"/>
    </xf>
    <xf numFmtId="164" fontId="8" fillId="0" borderId="2" xfId="1" applyNumberFormat="1" applyFont="1" applyBorder="1" applyAlignment="1">
      <alignment vertical="center" wrapText="1"/>
    </xf>
    <xf numFmtId="0" fontId="8" fillId="0" borderId="2" xfId="0" applyFont="1" applyFill="1" applyBorder="1" applyAlignment="1">
      <alignment vertical="center" wrapText="1"/>
    </xf>
    <xf numFmtId="164" fontId="9" fillId="3" borderId="5" xfId="1" applyNumberFormat="1" applyFont="1" applyFill="1" applyBorder="1" applyAlignment="1">
      <alignment vertical="center" wrapText="1"/>
    </xf>
    <xf numFmtId="164" fontId="9" fillId="0" borderId="5" xfId="1" applyNumberFormat="1" applyFont="1" applyFill="1" applyBorder="1" applyAlignment="1">
      <alignment vertical="center" wrapText="1"/>
    </xf>
    <xf numFmtId="164" fontId="8" fillId="2" borderId="6" xfId="1" applyNumberFormat="1" applyFont="1" applyFill="1" applyBorder="1" applyAlignment="1">
      <alignment vertical="center" wrapText="1"/>
    </xf>
    <xf numFmtId="164" fontId="9" fillId="0" borderId="6" xfId="1" applyNumberFormat="1" applyFont="1" applyFill="1" applyBorder="1" applyAlignment="1">
      <alignment vertical="center" wrapText="1"/>
    </xf>
    <xf numFmtId="3" fontId="8" fillId="2" borderId="7" xfId="0" applyNumberFormat="1" applyFont="1" applyFill="1" applyBorder="1" applyAlignment="1">
      <alignment vertical="center" wrapText="1"/>
    </xf>
    <xf numFmtId="164" fontId="9" fillId="0" borderId="7" xfId="1" applyNumberFormat="1" applyFont="1" applyFill="1" applyBorder="1" applyAlignment="1">
      <alignment vertical="center" wrapText="1"/>
    </xf>
    <xf numFmtId="164" fontId="8" fillId="0" borderId="10" xfId="1" applyNumberFormat="1" applyFont="1" applyBorder="1" applyAlignment="1">
      <alignment vertical="center" wrapText="1"/>
    </xf>
    <xf numFmtId="0" fontId="6" fillId="0" borderId="7" xfId="0" applyFont="1" applyBorder="1" applyAlignment="1">
      <alignment vertical="center" wrapText="1"/>
    </xf>
    <xf numFmtId="0" fontId="8" fillId="2" borderId="7" xfId="0" applyFont="1" applyFill="1" applyBorder="1" applyAlignment="1">
      <alignment vertical="center" wrapText="1"/>
    </xf>
    <xf numFmtId="3" fontId="8" fillId="2" borderId="2" xfId="0" applyNumberFormat="1" applyFont="1" applyFill="1" applyBorder="1" applyAlignment="1">
      <alignment vertical="center" wrapText="1"/>
    </xf>
    <xf numFmtId="0" fontId="10" fillId="2" borderId="2" xfId="0" applyFont="1" applyFill="1" applyBorder="1" applyAlignment="1">
      <alignment vertical="center" wrapText="1"/>
    </xf>
    <xf numFmtId="3" fontId="6" fillId="6" borderId="22" xfId="0" applyNumberFormat="1" applyFont="1" applyFill="1" applyBorder="1" applyAlignment="1">
      <alignment horizontal="right" vertical="center"/>
    </xf>
    <xf numFmtId="164" fontId="6" fillId="6" borderId="22" xfId="1" applyNumberFormat="1" applyFont="1" applyFill="1" applyBorder="1" applyAlignment="1">
      <alignment horizontal="right" vertical="center"/>
    </xf>
    <xf numFmtId="164" fontId="6" fillId="0" borderId="22" xfId="0" applyNumberFormat="1" applyFont="1" applyBorder="1" applyAlignment="1">
      <alignment vertical="center"/>
    </xf>
    <xf numFmtId="164" fontId="9" fillId="0" borderId="22" xfId="1" applyNumberFormat="1" applyFont="1" applyFill="1" applyBorder="1"/>
    <xf numFmtId="0" fontId="8" fillId="0" borderId="22" xfId="7" applyFont="1" applyBorder="1" applyAlignment="1">
      <alignment horizontal="center" vertical="center" wrapText="1"/>
    </xf>
    <xf numFmtId="0" fontId="20" fillId="0" borderId="22" xfId="0" applyFont="1" applyBorder="1" applyAlignment="1">
      <alignment horizontal="center" vertical="center" wrapText="1"/>
    </xf>
    <xf numFmtId="0" fontId="6" fillId="0" borderId="22" xfId="0" applyFont="1" applyBorder="1" applyAlignment="1">
      <alignment vertical="center"/>
    </xf>
    <xf numFmtId="0" fontId="6" fillId="6" borderId="14" xfId="0" applyFont="1" applyFill="1" applyBorder="1" applyAlignment="1">
      <alignment horizontal="right" vertical="center"/>
    </xf>
    <xf numFmtId="164" fontId="6" fillId="6" borderId="14" xfId="1" applyNumberFormat="1" applyFont="1" applyFill="1" applyBorder="1" applyAlignment="1">
      <alignment horizontal="right" vertical="center"/>
    </xf>
    <xf numFmtId="164" fontId="6" fillId="0" borderId="14" xfId="0" applyNumberFormat="1" applyFont="1" applyBorder="1" applyAlignment="1">
      <alignment vertical="center"/>
    </xf>
    <xf numFmtId="0" fontId="8" fillId="0" borderId="14" xfId="7" applyFont="1" applyBorder="1" applyAlignment="1">
      <alignment horizontal="center" vertical="center" wrapText="1"/>
    </xf>
    <xf numFmtId="0" fontId="20" fillId="0" borderId="14" xfId="0" applyFont="1" applyBorder="1" applyAlignment="1">
      <alignment horizontal="center" vertical="center" wrapText="1"/>
    </xf>
    <xf numFmtId="0" fontId="6" fillId="0" borderId="14" xfId="0" applyFont="1" applyBorder="1" applyAlignment="1">
      <alignment vertical="center"/>
    </xf>
    <xf numFmtId="0" fontId="6" fillId="0" borderId="14" xfId="0" applyFont="1" applyFill="1" applyBorder="1" applyAlignment="1">
      <alignment horizontal="right" vertical="center"/>
    </xf>
    <xf numFmtId="3" fontId="6" fillId="6" borderId="14" xfId="0" applyNumberFormat="1" applyFont="1" applyFill="1" applyBorder="1" applyAlignment="1">
      <alignment horizontal="right" vertical="center"/>
    </xf>
    <xf numFmtId="0" fontId="20" fillId="0" borderId="14" xfId="0" applyFont="1" applyBorder="1" applyAlignment="1">
      <alignment horizontal="center" vertical="center"/>
    </xf>
    <xf numFmtId="0" fontId="20" fillId="0" borderId="14" xfId="0" applyFont="1" applyFill="1" applyBorder="1" applyAlignment="1">
      <alignment horizontal="center" vertical="center" wrapText="1"/>
    </xf>
    <xf numFmtId="0" fontId="6" fillId="4" borderId="14" xfId="0" applyFont="1" applyFill="1" applyBorder="1" applyAlignment="1">
      <alignment horizontal="right" vertical="center"/>
    </xf>
    <xf numFmtId="164" fontId="9" fillId="4" borderId="14" xfId="1" applyNumberFormat="1" applyFont="1" applyFill="1" applyBorder="1"/>
    <xf numFmtId="164" fontId="6" fillId="4" borderId="14" xfId="0" applyNumberFormat="1" applyFont="1" applyFill="1" applyBorder="1" applyAlignment="1">
      <alignment vertical="center"/>
    </xf>
    <xf numFmtId="0" fontId="8" fillId="4" borderId="14" xfId="7" applyFont="1" applyFill="1" applyBorder="1" applyAlignment="1">
      <alignment horizontal="center" vertical="center" wrapText="1"/>
    </xf>
    <xf numFmtId="0" fontId="8" fillId="4" borderId="14" xfId="0" applyFont="1" applyFill="1" applyBorder="1" applyAlignment="1">
      <alignment horizontal="center" vertical="center" wrapText="1"/>
    </xf>
    <xf numFmtId="0" fontId="6" fillId="4" borderId="14" xfId="0" applyFont="1" applyFill="1" applyBorder="1" applyAlignment="1">
      <alignment vertical="center"/>
    </xf>
    <xf numFmtId="0" fontId="6" fillId="4" borderId="14" xfId="0" applyFont="1" applyFill="1" applyBorder="1" applyAlignment="1">
      <alignment vertical="center" wrapText="1"/>
    </xf>
    <xf numFmtId="0" fontId="8" fillId="0" borderId="14" xfId="0" applyFont="1" applyFill="1" applyBorder="1" applyAlignment="1">
      <alignment horizontal="center" vertical="center" wrapText="1"/>
    </xf>
    <xf numFmtId="0" fontId="6" fillId="0" borderId="23" xfId="0" applyFont="1" applyBorder="1" applyAlignment="1">
      <alignment horizontal="center" vertical="center"/>
    </xf>
    <xf numFmtId="0" fontId="6" fillId="0" borderId="23" xfId="0" applyFont="1" applyBorder="1" applyAlignment="1">
      <alignment horizontal="center" vertical="center" wrapText="1"/>
    </xf>
    <xf numFmtId="0" fontId="6" fillId="0" borderId="23" xfId="0" applyFont="1" applyBorder="1" applyAlignment="1">
      <alignment horizontal="left" vertical="center" wrapText="1"/>
    </xf>
    <xf numFmtId="0" fontId="6" fillId="6" borderId="23" xfId="0" applyFont="1" applyFill="1" applyBorder="1" applyAlignment="1">
      <alignment horizontal="right" vertical="center"/>
    </xf>
    <xf numFmtId="164" fontId="6" fillId="6" borderId="23" xfId="1" applyNumberFormat="1" applyFont="1" applyFill="1" applyBorder="1" applyAlignment="1">
      <alignment horizontal="right" vertical="center"/>
    </xf>
    <xf numFmtId="164" fontId="6" fillId="0" borderId="23" xfId="0" applyNumberFormat="1" applyFont="1" applyBorder="1" applyAlignment="1">
      <alignment vertical="center"/>
    </xf>
    <xf numFmtId="164" fontId="9" fillId="0" borderId="23" xfId="1" applyNumberFormat="1" applyFont="1" applyFill="1" applyBorder="1"/>
    <xf numFmtId="0" fontId="8" fillId="0" borderId="23" xfId="7" applyFont="1" applyBorder="1" applyAlignment="1">
      <alignment horizontal="center" vertical="center" wrapText="1"/>
    </xf>
    <xf numFmtId="0" fontId="20" fillId="0" borderId="23" xfId="0" applyFont="1" applyBorder="1" applyAlignment="1">
      <alignment horizontal="center" vertical="center" wrapText="1"/>
    </xf>
    <xf numFmtId="0" fontId="6" fillId="0" borderId="23" xfId="0" applyFont="1" applyBorder="1" applyAlignment="1">
      <alignment vertical="center"/>
    </xf>
    <xf numFmtId="0" fontId="8" fillId="0" borderId="22" xfId="0" applyFont="1" applyBorder="1" applyAlignment="1">
      <alignment horizontal="center" vertical="center" wrapText="1"/>
    </xf>
    <xf numFmtId="164" fontId="8" fillId="0" borderId="22" xfId="21" applyNumberFormat="1" applyFont="1" applyFill="1" applyBorder="1" applyAlignment="1">
      <alignment horizontal="center"/>
    </xf>
    <xf numFmtId="164" fontId="8" fillId="0" borderId="14" xfId="21" applyNumberFormat="1" applyFont="1" applyFill="1" applyBorder="1" applyAlignment="1">
      <alignment horizontal="center"/>
    </xf>
    <xf numFmtId="0" fontId="8" fillId="0" borderId="23" xfId="0" applyFont="1" applyBorder="1" applyAlignment="1">
      <alignment horizontal="center" vertical="center" wrapText="1"/>
    </xf>
    <xf numFmtId="164" fontId="6" fillId="0" borderId="21" xfId="0" applyNumberFormat="1" applyFont="1" applyBorder="1" applyAlignment="1">
      <alignment vertical="center"/>
    </xf>
    <xf numFmtId="0" fontId="6" fillId="0" borderId="22" xfId="9" applyFont="1" applyFill="1" applyBorder="1" applyAlignment="1">
      <alignment horizontal="left" vertical="center" wrapText="1"/>
    </xf>
    <xf numFmtId="164" fontId="6" fillId="0" borderId="22" xfId="1" applyNumberFormat="1" applyFont="1" applyFill="1" applyBorder="1" applyAlignment="1">
      <alignment vertical="center" wrapText="1"/>
    </xf>
    <xf numFmtId="164" fontId="6" fillId="0" borderId="22" xfId="1" applyNumberFormat="1" applyFont="1" applyBorder="1" applyAlignment="1">
      <alignment horizontal="center" vertical="center" wrapText="1"/>
    </xf>
    <xf numFmtId="164" fontId="6" fillId="0" borderId="22" xfId="0" applyNumberFormat="1" applyFont="1" applyBorder="1" applyAlignment="1">
      <alignment horizontal="center" vertical="center" wrapText="1"/>
    </xf>
    <xf numFmtId="164" fontId="6" fillId="0" borderId="14" xfId="1" applyNumberFormat="1" applyFont="1" applyFill="1" applyBorder="1" applyAlignment="1">
      <alignment vertical="center" wrapText="1"/>
    </xf>
    <xf numFmtId="164" fontId="6" fillId="0" borderId="14" xfId="1" applyNumberFormat="1" applyFont="1" applyBorder="1" applyAlignment="1">
      <alignment horizontal="center" vertical="center" wrapText="1"/>
    </xf>
    <xf numFmtId="164" fontId="6" fillId="0" borderId="14" xfId="0" applyNumberFormat="1" applyFont="1" applyBorder="1" applyAlignment="1">
      <alignment horizontal="center" vertical="center" wrapText="1"/>
    </xf>
    <xf numFmtId="0" fontId="20" fillId="0" borderId="14" xfId="0" applyFont="1" applyBorder="1" applyAlignment="1">
      <alignment horizontal="left" vertical="center" wrapText="1"/>
    </xf>
    <xf numFmtId="49" fontId="6" fillId="0" borderId="14" xfId="0" applyNumberFormat="1" applyFont="1" applyBorder="1" applyAlignment="1">
      <alignment horizontal="center" vertical="center" wrapText="1"/>
    </xf>
    <xf numFmtId="0" fontId="8" fillId="0" borderId="14" xfId="0" applyFont="1" applyBorder="1" applyAlignment="1">
      <alignment horizontal="left" vertical="center" wrapText="1"/>
    </xf>
    <xf numFmtId="0" fontId="8" fillId="0" borderId="14" xfId="22" applyFont="1" applyFill="1" applyBorder="1" applyAlignment="1">
      <alignment horizontal="left" vertical="center" wrapText="1"/>
    </xf>
    <xf numFmtId="0" fontId="8" fillId="0" borderId="14" xfId="0" applyFont="1" applyFill="1" applyBorder="1" applyAlignment="1">
      <alignment horizontal="left" vertical="center" wrapText="1"/>
    </xf>
    <xf numFmtId="164" fontId="6" fillId="0" borderId="23" xfId="1" applyNumberFormat="1" applyFont="1" applyFill="1" applyBorder="1" applyAlignment="1">
      <alignment vertical="center" wrapText="1"/>
    </xf>
    <xf numFmtId="164" fontId="6" fillId="0" borderId="23" xfId="1" applyNumberFormat="1" applyFont="1" applyBorder="1" applyAlignment="1">
      <alignment horizontal="center" vertical="center" wrapText="1"/>
    </xf>
    <xf numFmtId="164" fontId="6" fillId="0" borderId="2" xfId="0" applyNumberFormat="1" applyFont="1" applyBorder="1" applyAlignment="1">
      <alignment vertical="center" wrapText="1"/>
    </xf>
    <xf numFmtId="164" fontId="6" fillId="0" borderId="2" xfId="1" applyNumberFormat="1" applyFont="1" applyBorder="1" applyAlignment="1">
      <alignment horizontal="center" vertical="center" wrapText="1"/>
    </xf>
    <xf numFmtId="0" fontId="8" fillId="0" borderId="22" xfId="0" applyFont="1" applyBorder="1" applyAlignment="1">
      <alignment horizontal="center" vertical="center"/>
    </xf>
    <xf numFmtId="0" fontId="8" fillId="0" borderId="22" xfId="0" applyFont="1" applyBorder="1" applyAlignment="1">
      <alignment horizontal="left" vertical="center" wrapText="1"/>
    </xf>
    <xf numFmtId="0" fontId="6" fillId="6" borderId="22" xfId="0" applyFont="1" applyFill="1" applyBorder="1" applyAlignment="1">
      <alignment horizontal="center" vertical="center" wrapText="1"/>
    </xf>
    <xf numFmtId="170" fontId="6" fillId="0" borderId="22" xfId="0" applyNumberFormat="1" applyFont="1" applyBorder="1" applyAlignment="1">
      <alignment horizontal="right" vertical="center" wrapText="1"/>
    </xf>
    <xf numFmtId="0" fontId="8" fillId="0" borderId="14" xfId="0" applyFont="1" applyBorder="1" applyAlignment="1">
      <alignment horizontal="center" vertical="center"/>
    </xf>
    <xf numFmtId="0" fontId="6" fillId="6" borderId="14" xfId="0" applyFont="1" applyFill="1" applyBorder="1" applyAlignment="1">
      <alignment horizontal="center" vertical="center" wrapText="1"/>
    </xf>
    <xf numFmtId="170" fontId="6" fillId="0" borderId="14" xfId="0" applyNumberFormat="1" applyFont="1" applyBorder="1" applyAlignment="1">
      <alignment horizontal="right" vertical="center" wrapText="1"/>
    </xf>
    <xf numFmtId="0" fontId="8" fillId="0" borderId="23" xfId="0" applyFont="1" applyFill="1" applyBorder="1" applyAlignment="1">
      <alignment horizontal="center" vertical="center"/>
    </xf>
    <xf numFmtId="0" fontId="8" fillId="0" borderId="23" xfId="0" applyFont="1" applyFill="1" applyBorder="1" applyAlignment="1">
      <alignment horizontal="left" vertical="center" wrapText="1"/>
    </xf>
    <xf numFmtId="0" fontId="8" fillId="0" borderId="23" xfId="0" applyFont="1" applyFill="1" applyBorder="1" applyAlignment="1">
      <alignment horizontal="center" vertical="center" wrapText="1"/>
    </xf>
    <xf numFmtId="170" fontId="8" fillId="0" borderId="23" xfId="0" applyNumberFormat="1" applyFont="1" applyFill="1" applyBorder="1" applyAlignment="1">
      <alignment horizontal="right" vertical="center" wrapText="1"/>
    </xf>
    <xf numFmtId="164" fontId="8" fillId="0" borderId="23" xfId="1" applyNumberFormat="1" applyFont="1" applyFill="1" applyBorder="1" applyAlignment="1">
      <alignment horizontal="center"/>
    </xf>
    <xf numFmtId="0" fontId="8" fillId="0" borderId="23" xfId="5" applyFont="1" applyBorder="1" applyAlignment="1">
      <alignment horizontal="center" vertical="center" wrapText="1"/>
    </xf>
    <xf numFmtId="164" fontId="8" fillId="0" borderId="0" xfId="1" applyNumberFormat="1" applyFont="1" applyFill="1"/>
    <xf numFmtId="164" fontId="8" fillId="0" borderId="0" xfId="1" applyNumberFormat="1" applyFont="1" applyFill="1" applyAlignment="1">
      <alignment horizontal="left"/>
    </xf>
    <xf numFmtId="0" fontId="8" fillId="0" borderId="0" xfId="0" applyFont="1" applyFill="1"/>
    <xf numFmtId="49" fontId="6" fillId="0" borderId="22" xfId="0" applyNumberFormat="1" applyFont="1" applyBorder="1" applyAlignment="1">
      <alignment vertical="center" wrapText="1"/>
    </xf>
    <xf numFmtId="49" fontId="9" fillId="0" borderId="22" xfId="0" applyNumberFormat="1" applyFont="1" applyBorder="1" applyAlignment="1">
      <alignment vertical="center" wrapText="1"/>
    </xf>
    <xf numFmtId="49" fontId="6" fillId="0" borderId="22" xfId="7" applyNumberFormat="1" applyFont="1" applyFill="1" applyBorder="1" applyAlignment="1">
      <alignment vertical="center" wrapText="1"/>
    </xf>
    <xf numFmtId="3" fontId="6" fillId="0" borderId="22" xfId="7" applyNumberFormat="1" applyFont="1" applyFill="1" applyBorder="1" applyAlignment="1">
      <alignment vertical="center" wrapText="1"/>
    </xf>
    <xf numFmtId="0" fontId="9" fillId="3" borderId="22" xfId="0" applyFont="1" applyFill="1" applyBorder="1" applyAlignment="1">
      <alignment vertical="center" wrapText="1"/>
    </xf>
    <xf numFmtId="164" fontId="8" fillId="0" borderId="22" xfId="1" applyNumberFormat="1" applyFont="1" applyFill="1" applyBorder="1" applyAlignment="1">
      <alignment vertical="center" wrapText="1"/>
    </xf>
    <xf numFmtId="49" fontId="6" fillId="0" borderId="22" xfId="0" applyNumberFormat="1" applyFont="1" applyFill="1" applyBorder="1" applyAlignment="1">
      <alignment vertical="center" wrapText="1"/>
    </xf>
    <xf numFmtId="49" fontId="6" fillId="2" borderId="22" xfId="0" applyNumberFormat="1" applyFont="1" applyFill="1" applyBorder="1" applyAlignment="1">
      <alignment vertical="center" wrapText="1"/>
    </xf>
    <xf numFmtId="49" fontId="6" fillId="0" borderId="14" xfId="0" applyNumberFormat="1" applyFont="1" applyBorder="1" applyAlignment="1">
      <alignment vertical="center" wrapText="1"/>
    </xf>
    <xf numFmtId="49" fontId="9" fillId="0" borderId="14" xfId="0" applyNumberFormat="1" applyFont="1" applyBorder="1" applyAlignment="1">
      <alignment vertical="center" wrapText="1"/>
    </xf>
    <xf numFmtId="49" fontId="6" fillId="0" borderId="14" xfId="7" applyNumberFormat="1" applyFont="1" applyFill="1" applyBorder="1" applyAlignment="1">
      <alignment vertical="center" wrapText="1"/>
    </xf>
    <xf numFmtId="0" fontId="6" fillId="0" borderId="14" xfId="0" applyNumberFormat="1" applyFont="1" applyBorder="1" applyAlignment="1">
      <alignment vertical="center" wrapText="1"/>
    </xf>
    <xf numFmtId="3" fontId="6" fillId="0" borderId="14" xfId="0" applyNumberFormat="1" applyFont="1" applyBorder="1" applyAlignment="1">
      <alignment vertical="center" wrapText="1"/>
    </xf>
    <xf numFmtId="3" fontId="6" fillId="0" borderId="14" xfId="7" applyNumberFormat="1" applyFont="1" applyFill="1" applyBorder="1" applyAlignment="1">
      <alignment vertical="center" wrapText="1"/>
    </xf>
    <xf numFmtId="0" fontId="9" fillId="3" borderId="14" xfId="0" applyFont="1" applyFill="1" applyBorder="1" applyAlignment="1">
      <alignment vertical="center" wrapText="1"/>
    </xf>
    <xf numFmtId="164" fontId="8" fillId="0" borderId="14" xfId="1" applyNumberFormat="1" applyFont="1" applyFill="1" applyBorder="1" applyAlignment="1">
      <alignment vertical="center" wrapText="1"/>
    </xf>
    <xf numFmtId="49" fontId="6" fillId="0" borderId="14" xfId="0" applyNumberFormat="1" applyFont="1" applyFill="1" applyBorder="1" applyAlignment="1">
      <alignment vertical="center" wrapText="1"/>
    </xf>
    <xf numFmtId="49" fontId="6" fillId="2" borderId="14" xfId="0" applyNumberFormat="1" applyFont="1" applyFill="1" applyBorder="1" applyAlignment="1">
      <alignment vertical="center" wrapText="1"/>
    </xf>
    <xf numFmtId="49" fontId="9" fillId="2" borderId="14" xfId="0" applyNumberFormat="1" applyFont="1" applyFill="1" applyBorder="1" applyAlignment="1">
      <alignment vertical="center" wrapText="1"/>
    </xf>
    <xf numFmtId="49" fontId="6" fillId="2" borderId="14" xfId="7" applyNumberFormat="1" applyFont="1" applyFill="1" applyBorder="1" applyAlignment="1">
      <alignment vertical="center" wrapText="1"/>
    </xf>
    <xf numFmtId="0" fontId="6" fillId="2" borderId="14" xfId="0" applyNumberFormat="1" applyFont="1" applyFill="1" applyBorder="1" applyAlignment="1">
      <alignment vertical="center" wrapText="1"/>
    </xf>
    <xf numFmtId="3" fontId="6" fillId="2" borderId="14" xfId="0" applyNumberFormat="1" applyFont="1" applyFill="1" applyBorder="1" applyAlignment="1">
      <alignment vertical="center" wrapText="1"/>
    </xf>
    <xf numFmtId="3" fontId="6" fillId="2" borderId="14" xfId="7" applyNumberFormat="1" applyFont="1" applyFill="1" applyBorder="1" applyAlignment="1">
      <alignment vertical="center" wrapText="1"/>
    </xf>
    <xf numFmtId="0" fontId="9" fillId="0" borderId="14" xfId="0" applyNumberFormat="1" applyFont="1" applyBorder="1" applyAlignment="1">
      <alignment vertical="center" wrapText="1"/>
    </xf>
    <xf numFmtId="0" fontId="8" fillId="2" borderId="14" xfId="0" applyNumberFormat="1" applyFont="1" applyFill="1" applyBorder="1" applyAlignment="1">
      <alignment vertical="center" wrapText="1"/>
    </xf>
    <xf numFmtId="3" fontId="8" fillId="2" borderId="14" xfId="0" applyNumberFormat="1" applyFont="1" applyFill="1" applyBorder="1" applyAlignment="1">
      <alignment vertical="center" wrapText="1"/>
    </xf>
    <xf numFmtId="0" fontId="9" fillId="2" borderId="14" xfId="0" applyFont="1" applyFill="1" applyBorder="1" applyAlignment="1">
      <alignment vertical="center" wrapText="1"/>
    </xf>
    <xf numFmtId="0" fontId="8" fillId="2" borderId="14" xfId="23" applyFont="1" applyFill="1" applyBorder="1" applyAlignment="1">
      <alignment vertical="center" wrapText="1"/>
    </xf>
    <xf numFmtId="49" fontId="6" fillId="0" borderId="23" xfId="0" applyNumberFormat="1" applyFont="1" applyBorder="1" applyAlignment="1">
      <alignment vertical="center" wrapText="1"/>
    </xf>
    <xf numFmtId="49" fontId="9" fillId="0" borderId="23" xfId="0" applyNumberFormat="1" applyFont="1" applyBorder="1" applyAlignment="1">
      <alignment vertical="center" wrapText="1"/>
    </xf>
    <xf numFmtId="0" fontId="8" fillId="2" borderId="23" xfId="23" applyFont="1" applyFill="1" applyBorder="1" applyAlignment="1">
      <alignment vertical="center" wrapText="1"/>
    </xf>
    <xf numFmtId="0" fontId="8" fillId="2" borderId="23" xfId="0" applyNumberFormat="1" applyFont="1" applyFill="1" applyBorder="1" applyAlignment="1">
      <alignment vertical="center" wrapText="1"/>
    </xf>
    <xf numFmtId="3" fontId="8" fillId="2" borderId="23" xfId="0" applyNumberFormat="1" applyFont="1" applyFill="1" applyBorder="1" applyAlignment="1">
      <alignment vertical="center" wrapText="1"/>
    </xf>
    <xf numFmtId="0" fontId="9" fillId="3" borderId="23" xfId="0" applyFont="1" applyFill="1" applyBorder="1" applyAlignment="1">
      <alignment vertical="center" wrapText="1"/>
    </xf>
    <xf numFmtId="164" fontId="8" fillId="0" borderId="23" xfId="1" applyNumberFormat="1" applyFont="1" applyFill="1" applyBorder="1" applyAlignment="1">
      <alignment vertical="center" wrapText="1"/>
    </xf>
    <xf numFmtId="49" fontId="8" fillId="0" borderId="23" xfId="0" applyNumberFormat="1" applyFont="1" applyBorder="1" applyAlignment="1">
      <alignment vertical="center" wrapText="1"/>
    </xf>
    <xf numFmtId="49" fontId="6" fillId="0" borderId="2" xfId="0" applyNumberFormat="1" applyFont="1" applyBorder="1" applyAlignment="1">
      <alignment horizontal="center" vertical="top" wrapText="1"/>
    </xf>
    <xf numFmtId="3" fontId="8" fillId="2" borderId="2" xfId="0" applyNumberFormat="1" applyFont="1" applyFill="1" applyBorder="1" applyAlignment="1">
      <alignment horizontal="right" vertical="top" wrapText="1"/>
    </xf>
    <xf numFmtId="0" fontId="8" fillId="2" borderId="2" xfId="0" applyNumberFormat="1" applyFont="1" applyFill="1" applyBorder="1" applyAlignment="1">
      <alignment horizontal="left" vertical="top" wrapText="1"/>
    </xf>
    <xf numFmtId="49" fontId="6" fillId="0" borderId="0" xfId="0" applyNumberFormat="1" applyFont="1" applyBorder="1" applyAlignment="1">
      <alignment horizontal="center" vertical="top" wrapText="1"/>
    </xf>
    <xf numFmtId="0" fontId="8" fillId="0" borderId="0" xfId="0" applyFont="1" applyBorder="1" applyAlignment="1">
      <alignment horizontal="center" vertical="top" wrapText="1"/>
    </xf>
    <xf numFmtId="49" fontId="6" fillId="2" borderId="0" xfId="0" applyNumberFormat="1" applyFont="1" applyFill="1" applyBorder="1" applyAlignment="1">
      <alignment horizontal="center" vertical="top" wrapText="1"/>
    </xf>
    <xf numFmtId="0" fontId="8" fillId="2" borderId="22" xfId="0" applyFont="1" applyFill="1" applyBorder="1" applyAlignment="1">
      <alignment vertical="center" wrapText="1"/>
    </xf>
    <xf numFmtId="0" fontId="8" fillId="2" borderId="22" xfId="0" applyFont="1" applyFill="1" applyBorder="1" applyAlignment="1">
      <alignment horizontal="left" vertical="center" wrapText="1"/>
    </xf>
    <xf numFmtId="3" fontId="8" fillId="2" borderId="22" xfId="0" applyNumberFormat="1" applyFont="1" applyFill="1" applyBorder="1" applyAlignment="1">
      <alignment vertical="center" wrapText="1"/>
    </xf>
    <xf numFmtId="164" fontId="8" fillId="2" borderId="22" xfId="1" applyNumberFormat="1" applyFont="1" applyFill="1" applyBorder="1" applyAlignment="1">
      <alignment vertical="center" wrapText="1"/>
    </xf>
    <xf numFmtId="3" fontId="9" fillId="3" borderId="22" xfId="1" applyNumberFormat="1" applyFont="1" applyFill="1" applyBorder="1" applyAlignment="1">
      <alignment vertical="center" wrapText="1"/>
    </xf>
    <xf numFmtId="3" fontId="9" fillId="0" borderId="22" xfId="1" applyNumberFormat="1" applyFont="1" applyFill="1" applyBorder="1" applyAlignment="1">
      <alignment vertical="center" wrapText="1"/>
    </xf>
    <xf numFmtId="164" fontId="6" fillId="0" borderId="40" xfId="1" applyNumberFormat="1" applyFont="1" applyBorder="1" applyAlignment="1">
      <alignment vertical="center" wrapText="1"/>
    </xf>
    <xf numFmtId="164" fontId="6" fillId="0" borderId="0" xfId="1" applyNumberFormat="1" applyFont="1" applyBorder="1" applyAlignment="1">
      <alignment vertical="center" wrapText="1"/>
    </xf>
    <xf numFmtId="0" fontId="8" fillId="2" borderId="14" xfId="0" applyFont="1" applyFill="1" applyBorder="1" applyAlignment="1">
      <alignment vertical="center" wrapText="1"/>
    </xf>
    <xf numFmtId="0" fontId="8" fillId="2" borderId="14" xfId="0" applyFont="1" applyFill="1" applyBorder="1" applyAlignment="1">
      <alignment horizontal="left" vertical="center" wrapText="1"/>
    </xf>
    <xf numFmtId="164" fontId="8" fillId="2" borderId="14" xfId="1" applyNumberFormat="1" applyFont="1" applyFill="1" applyBorder="1" applyAlignment="1">
      <alignment vertical="center" wrapText="1"/>
    </xf>
    <xf numFmtId="3" fontId="9" fillId="3" borderId="14" xfId="1" applyNumberFormat="1" applyFont="1" applyFill="1" applyBorder="1" applyAlignment="1">
      <alignment vertical="center" wrapText="1"/>
    </xf>
    <xf numFmtId="3" fontId="9" fillId="0" borderId="14" xfId="1" applyNumberFormat="1" applyFont="1" applyFill="1" applyBorder="1" applyAlignment="1">
      <alignment vertical="center" wrapText="1"/>
    </xf>
    <xf numFmtId="164" fontId="6" fillId="0" borderId="41" xfId="1" applyNumberFormat="1" applyFont="1" applyBorder="1" applyAlignment="1">
      <alignment vertical="center" wrapText="1"/>
    </xf>
    <xf numFmtId="0" fontId="8" fillId="2" borderId="15" xfId="0" applyFont="1" applyFill="1" applyBorder="1" applyAlignment="1">
      <alignment vertical="center" wrapText="1"/>
    </xf>
    <xf numFmtId="0" fontId="8" fillId="2" borderId="15" xfId="0" applyFont="1" applyFill="1" applyBorder="1" applyAlignment="1">
      <alignment horizontal="left" vertical="center" wrapText="1"/>
    </xf>
    <xf numFmtId="164" fontId="8" fillId="2" borderId="15" xfId="1" applyNumberFormat="1" applyFont="1" applyFill="1" applyBorder="1" applyAlignment="1">
      <alignment vertical="center" wrapText="1"/>
    </xf>
    <xf numFmtId="3" fontId="9" fillId="3" borderId="15" xfId="1" applyNumberFormat="1" applyFont="1" applyFill="1" applyBorder="1" applyAlignment="1">
      <alignment vertical="center" wrapText="1"/>
    </xf>
    <xf numFmtId="3" fontId="9" fillId="0" borderId="15" xfId="1" applyNumberFormat="1" applyFont="1" applyFill="1" applyBorder="1" applyAlignment="1">
      <alignment vertical="center" wrapText="1"/>
    </xf>
    <xf numFmtId="164" fontId="8" fillId="0" borderId="15" xfId="1" applyNumberFormat="1" applyFont="1" applyFill="1" applyBorder="1" applyAlignment="1">
      <alignment vertical="center" wrapText="1"/>
    </xf>
    <xf numFmtId="164" fontId="6" fillId="0" borderId="42" xfId="1" applyNumberFormat="1" applyFont="1" applyBorder="1" applyAlignment="1">
      <alignment vertical="center" wrapText="1"/>
    </xf>
    <xf numFmtId="0" fontId="8" fillId="2" borderId="2" xfId="0" applyFont="1" applyFill="1" applyBorder="1" applyAlignment="1">
      <alignment vertical="center" wrapText="1"/>
    </xf>
    <xf numFmtId="164" fontId="8" fillId="2" borderId="2" xfId="1" applyNumberFormat="1" applyFont="1" applyFill="1" applyBorder="1" applyAlignment="1">
      <alignment horizontal="left" vertical="center" wrapText="1"/>
    </xf>
    <xf numFmtId="164" fontId="8" fillId="2" borderId="2" xfId="1" applyNumberFormat="1" applyFont="1" applyFill="1" applyBorder="1" applyAlignment="1">
      <alignment vertical="center" wrapText="1"/>
    </xf>
    <xf numFmtId="164" fontId="6" fillId="0" borderId="2" xfId="1" applyNumberFormat="1" applyFont="1" applyBorder="1" applyAlignment="1">
      <alignment vertical="center" wrapText="1"/>
    </xf>
    <xf numFmtId="164" fontId="8" fillId="2" borderId="2" xfId="0" applyNumberFormat="1" applyFont="1" applyFill="1" applyBorder="1" applyAlignment="1">
      <alignment vertical="center" wrapText="1"/>
    </xf>
    <xf numFmtId="0" fontId="8" fillId="2" borderId="0" xfId="0" applyFont="1" applyFill="1" applyBorder="1" applyAlignment="1">
      <alignment vertical="center" wrapText="1"/>
    </xf>
    <xf numFmtId="0" fontId="8" fillId="2" borderId="2" xfId="0" applyFont="1" applyFill="1" applyBorder="1" applyAlignment="1">
      <alignment horizontal="center" vertical="center"/>
    </xf>
    <xf numFmtId="0" fontId="8" fillId="2" borderId="5" xfId="0" quotePrefix="1" applyFont="1" applyFill="1" applyBorder="1" applyAlignment="1">
      <alignment horizontal="left" vertical="center" wrapText="1"/>
    </xf>
    <xf numFmtId="0" fontId="8" fillId="2" borderId="5" xfId="0" quotePrefix="1" applyFont="1" applyFill="1" applyBorder="1" applyAlignment="1">
      <alignment vertical="center" wrapText="1"/>
    </xf>
    <xf numFmtId="166" fontId="8" fillId="0" borderId="5" xfId="1" quotePrefix="1" applyNumberFormat="1" applyFont="1" applyFill="1" applyBorder="1" applyAlignment="1">
      <alignment vertical="center" wrapText="1"/>
    </xf>
    <xf numFmtId="0" fontId="8" fillId="0" borderId="5" xfId="0" applyFont="1" applyFill="1" applyBorder="1" applyAlignment="1">
      <alignment vertical="center" wrapText="1"/>
    </xf>
    <xf numFmtId="0" fontId="8" fillId="2" borderId="6" xfId="0" applyFont="1" applyFill="1" applyBorder="1" applyAlignment="1">
      <alignment horizontal="left" vertical="center" wrapText="1"/>
    </xf>
    <xf numFmtId="166" fontId="8" fillId="0" borderId="6" xfId="1" applyNumberFormat="1" applyFont="1" applyFill="1" applyBorder="1" applyAlignment="1">
      <alignment vertical="center" wrapText="1"/>
    </xf>
    <xf numFmtId="0" fontId="8" fillId="0" borderId="6" xfId="0" applyFont="1" applyFill="1" applyBorder="1" applyAlignment="1">
      <alignment vertical="center" wrapText="1"/>
    </xf>
    <xf numFmtId="171" fontId="8" fillId="0" borderId="6" xfId="1" applyNumberFormat="1" applyFont="1" applyFill="1" applyBorder="1" applyAlignment="1">
      <alignment vertical="center" wrapText="1"/>
    </xf>
    <xf numFmtId="166" fontId="8" fillId="2" borderId="6" xfId="1" applyNumberFormat="1" applyFont="1" applyFill="1" applyBorder="1" applyAlignment="1">
      <alignment vertical="center" wrapText="1"/>
    </xf>
    <xf numFmtId="166" fontId="8" fillId="2" borderId="6" xfId="1" applyNumberFormat="1" applyFont="1" applyFill="1" applyBorder="1" applyAlignment="1">
      <alignment horizontal="left" vertical="center" wrapText="1"/>
    </xf>
    <xf numFmtId="166" fontId="8" fillId="2" borderId="7" xfId="1" applyNumberFormat="1" applyFont="1" applyFill="1" applyBorder="1" applyAlignment="1">
      <alignment horizontal="left" vertical="center" wrapText="1"/>
    </xf>
    <xf numFmtId="166" fontId="8" fillId="2" borderId="7" xfId="1" applyNumberFormat="1" applyFont="1" applyFill="1" applyBorder="1" applyAlignment="1">
      <alignment vertical="center" wrapText="1"/>
    </xf>
    <xf numFmtId="166" fontId="8" fillId="0" borderId="7" xfId="1" applyNumberFormat="1" applyFont="1" applyFill="1" applyBorder="1" applyAlignment="1">
      <alignment vertical="center" wrapText="1"/>
    </xf>
    <xf numFmtId="171" fontId="8" fillId="0" borderId="7" xfId="1" applyNumberFormat="1" applyFont="1" applyFill="1" applyBorder="1" applyAlignment="1">
      <alignment vertical="center" wrapText="1"/>
    </xf>
    <xf numFmtId="166" fontId="8" fillId="2" borderId="2" xfId="1" applyNumberFormat="1" applyFont="1" applyFill="1" applyBorder="1" applyAlignment="1">
      <alignment vertical="center" wrapText="1"/>
    </xf>
    <xf numFmtId="166" fontId="8" fillId="2" borderId="2" xfId="1" applyNumberFormat="1" applyFont="1" applyFill="1" applyBorder="1" applyAlignment="1">
      <alignment horizontal="left" vertical="center" wrapText="1"/>
    </xf>
    <xf numFmtId="166" fontId="8" fillId="0" borderId="2" xfId="1" applyNumberFormat="1" applyFont="1" applyFill="1" applyBorder="1" applyAlignment="1">
      <alignment vertical="center" wrapText="1"/>
    </xf>
    <xf numFmtId="0" fontId="20" fillId="0" borderId="22" xfId="0" applyFont="1" applyBorder="1" applyAlignment="1">
      <alignment horizontal="center" vertical="center"/>
    </xf>
    <xf numFmtId="0" fontId="20" fillId="0" borderId="22" xfId="0" applyFont="1" applyBorder="1" applyAlignment="1">
      <alignment horizontal="left" vertical="center" wrapText="1"/>
    </xf>
    <xf numFmtId="0" fontId="20" fillId="6" borderId="22" xfId="0" applyFont="1" applyFill="1" applyBorder="1" applyAlignment="1">
      <alignment horizontal="center" vertical="center"/>
    </xf>
    <xf numFmtId="164" fontId="20" fillId="0" borderId="22" xfId="1" applyNumberFormat="1" applyFont="1" applyBorder="1" applyAlignment="1">
      <alignment horizontal="center" vertical="center"/>
    </xf>
    <xf numFmtId="0" fontId="9" fillId="3" borderId="22" xfId="0" applyFont="1" applyFill="1" applyBorder="1" applyAlignment="1">
      <alignment horizontal="center"/>
    </xf>
    <xf numFmtId="0" fontId="20" fillId="0" borderId="22" xfId="0" applyFont="1" applyFill="1" applyBorder="1" applyAlignment="1">
      <alignment horizontal="center" vertical="center" wrapText="1"/>
    </xf>
    <xf numFmtId="0" fontId="20" fillId="6" borderId="14" xfId="0" applyFont="1" applyFill="1" applyBorder="1" applyAlignment="1">
      <alignment horizontal="center" vertical="center"/>
    </xf>
    <xf numFmtId="164" fontId="20" fillId="0" borderId="14" xfId="1" applyNumberFormat="1" applyFont="1" applyBorder="1" applyAlignment="1">
      <alignment horizontal="center" vertical="center"/>
    </xf>
    <xf numFmtId="0" fontId="9" fillId="3" borderId="14" xfId="0" applyFont="1" applyFill="1" applyBorder="1" applyAlignment="1">
      <alignment horizontal="center"/>
    </xf>
    <xf numFmtId="3" fontId="9" fillId="0" borderId="14" xfId="0" applyNumberFormat="1" applyFont="1" applyFill="1" applyBorder="1" applyAlignment="1">
      <alignment horizontal="center"/>
    </xf>
    <xf numFmtId="0" fontId="9" fillId="0" borderId="14" xfId="5" applyFont="1" applyBorder="1" applyAlignment="1">
      <alignment horizontal="center" vertical="center" wrapText="1"/>
    </xf>
    <xf numFmtId="164" fontId="6" fillId="0" borderId="14" xfId="1" applyNumberFormat="1" applyFont="1" applyBorder="1" applyAlignment="1">
      <alignment horizontal="center" vertical="center"/>
    </xf>
    <xf numFmtId="0" fontId="20" fillId="0" borderId="15" xfId="0" applyFont="1" applyBorder="1" applyAlignment="1">
      <alignment horizontal="center" vertical="center"/>
    </xf>
    <xf numFmtId="0" fontId="20" fillId="0" borderId="15" xfId="0" applyFont="1" applyBorder="1" applyAlignment="1">
      <alignment horizontal="left" vertical="center" wrapText="1"/>
    </xf>
    <xf numFmtId="0" fontId="20" fillId="0" borderId="15" xfId="0" applyFont="1" applyBorder="1" applyAlignment="1">
      <alignment horizontal="center" vertical="center" wrapText="1"/>
    </xf>
    <xf numFmtId="0" fontId="20" fillId="6" borderId="15" xfId="0" applyFont="1" applyFill="1" applyBorder="1" applyAlignment="1">
      <alignment horizontal="center" vertical="center"/>
    </xf>
    <xf numFmtId="164" fontId="6" fillId="0" borderId="15" xfId="1" applyNumberFormat="1" applyFont="1" applyBorder="1" applyAlignment="1">
      <alignment horizontal="center" vertical="center"/>
    </xf>
    <xf numFmtId="164" fontId="20" fillId="0" borderId="15" xfId="1" applyNumberFormat="1" applyFont="1" applyBorder="1" applyAlignment="1">
      <alignment horizontal="center" vertical="center"/>
    </xf>
    <xf numFmtId="0" fontId="9" fillId="3" borderId="15" xfId="0" applyFont="1" applyFill="1" applyBorder="1" applyAlignment="1">
      <alignment horizontal="center"/>
    </xf>
    <xf numFmtId="3" fontId="9" fillId="0" borderId="15" xfId="0" applyNumberFormat="1" applyFont="1" applyFill="1" applyBorder="1" applyAlignment="1">
      <alignment horizontal="center"/>
    </xf>
    <xf numFmtId="164" fontId="8" fillId="0" borderId="15" xfId="1" applyNumberFormat="1" applyFont="1" applyFill="1" applyBorder="1" applyAlignment="1">
      <alignment horizontal="center" vertical="center"/>
    </xf>
    <xf numFmtId="0" fontId="8" fillId="0" borderId="15" xfId="0" applyFont="1" applyBorder="1" applyAlignment="1">
      <alignment horizontal="center" vertical="center" wrapText="1"/>
    </xf>
    <xf numFmtId="0" fontId="6" fillId="0" borderId="15" xfId="0" applyFont="1" applyBorder="1" applyAlignment="1">
      <alignment vertical="center" wrapText="1"/>
    </xf>
    <xf numFmtId="164" fontId="20" fillId="0" borderId="2" xfId="1" applyNumberFormat="1" applyFont="1" applyFill="1" applyBorder="1" applyAlignment="1">
      <alignment horizontal="center" vertical="center"/>
    </xf>
    <xf numFmtId="0" fontId="6" fillId="0" borderId="0" xfId="0" applyFont="1" applyBorder="1" applyAlignment="1">
      <alignment horizontal="center"/>
    </xf>
    <xf numFmtId="164" fontId="6" fillId="0" borderId="0" xfId="1" applyNumberFormat="1" applyFont="1" applyBorder="1"/>
    <xf numFmtId="0" fontId="6" fillId="0" borderId="0" xfId="0" applyFont="1" applyBorder="1"/>
    <xf numFmtId="0" fontId="8" fillId="0" borderId="22" xfId="24" applyFont="1" applyFill="1" applyBorder="1" applyAlignment="1">
      <alignment horizontal="center" vertical="center" wrapText="1"/>
    </xf>
    <xf numFmtId="0" fontId="8" fillId="0" borderId="22" xfId="24" applyFont="1" applyFill="1" applyBorder="1" applyAlignment="1">
      <alignment horizontal="left" vertical="center" wrapText="1"/>
    </xf>
    <xf numFmtId="0" fontId="8" fillId="0" borderId="22" xfId="25" applyFont="1" applyFill="1" applyBorder="1" applyAlignment="1">
      <alignment vertical="center" wrapText="1"/>
    </xf>
    <xf numFmtId="0" fontId="8" fillId="2" borderId="22" xfId="0" applyFont="1" applyFill="1" applyBorder="1" applyAlignment="1">
      <alignment horizontal="center" vertical="center"/>
    </xf>
    <xf numFmtId="164" fontId="8" fillId="2" borderId="22" xfId="21" applyNumberFormat="1" applyFont="1" applyFill="1" applyBorder="1" applyAlignment="1">
      <alignment horizontal="right" vertical="center"/>
    </xf>
    <xf numFmtId="164" fontId="8" fillId="2" borderId="22" xfId="21" applyNumberFormat="1" applyFont="1" applyFill="1" applyBorder="1" applyAlignment="1">
      <alignment horizontal="center" vertical="center"/>
    </xf>
    <xf numFmtId="0" fontId="8" fillId="2" borderId="22" xfId="0" applyFont="1" applyFill="1" applyBorder="1" applyAlignment="1">
      <alignment horizontal="center" vertical="center" wrapText="1"/>
    </xf>
    <xf numFmtId="0" fontId="8" fillId="4" borderId="14" xfId="24" applyFont="1" applyFill="1" applyBorder="1" applyAlignment="1">
      <alignment horizontal="center" vertical="center" wrapText="1"/>
    </xf>
    <xf numFmtId="0" fontId="8" fillId="4" borderId="14" xfId="24" applyFont="1" applyFill="1" applyBorder="1" applyAlignment="1">
      <alignment horizontal="left" vertical="center" wrapText="1"/>
    </xf>
    <xf numFmtId="0" fontId="8" fillId="4" borderId="14" xfId="25" applyFont="1" applyFill="1" applyBorder="1" applyAlignment="1">
      <alignment vertical="center" wrapText="1"/>
    </xf>
    <xf numFmtId="0" fontId="8" fillId="2" borderId="14" xfId="0" applyFont="1" applyFill="1" applyBorder="1" applyAlignment="1">
      <alignment horizontal="center" vertical="center"/>
    </xf>
    <xf numFmtId="164" fontId="8" fillId="2" borderId="14" xfId="21" applyNumberFormat="1" applyFont="1" applyFill="1" applyBorder="1" applyAlignment="1">
      <alignment horizontal="right" vertical="center"/>
    </xf>
    <xf numFmtId="164" fontId="8" fillId="2" borderId="14" xfId="21" applyNumberFormat="1" applyFont="1" applyFill="1" applyBorder="1" applyAlignment="1">
      <alignment horizontal="center" vertical="center"/>
    </xf>
    <xf numFmtId="0" fontId="8" fillId="2" borderId="14" xfId="0" applyFont="1" applyFill="1" applyBorder="1" applyAlignment="1">
      <alignment horizontal="center" vertical="center" wrapText="1"/>
    </xf>
    <xf numFmtId="0" fontId="8" fillId="0" borderId="14" xfId="24" applyFont="1" applyFill="1" applyBorder="1" applyAlignment="1">
      <alignment horizontal="center" vertical="center" wrapText="1"/>
    </xf>
    <xf numFmtId="0" fontId="8" fillId="0" borderId="14" xfId="24" applyFont="1" applyFill="1" applyBorder="1" applyAlignment="1">
      <alignment horizontal="left" vertical="center" wrapText="1"/>
    </xf>
    <xf numFmtId="0" fontId="8" fillId="0" borderId="14" xfId="25" applyFont="1" applyFill="1" applyBorder="1" applyAlignment="1">
      <alignment vertical="center" wrapText="1"/>
    </xf>
    <xf numFmtId="164" fontId="8" fillId="2" borderId="14" xfId="21"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8" fillId="0" borderId="15" xfId="24" applyFont="1" applyFill="1" applyBorder="1" applyAlignment="1">
      <alignment horizontal="center" vertical="center" wrapText="1"/>
    </xf>
    <xf numFmtId="0" fontId="8" fillId="0" borderId="15" xfId="24" applyFont="1" applyFill="1" applyBorder="1" applyAlignment="1">
      <alignment horizontal="left" vertical="center" wrapText="1"/>
    </xf>
    <xf numFmtId="0" fontId="8" fillId="0" borderId="15" xfId="25" applyFont="1" applyFill="1" applyBorder="1" applyAlignment="1">
      <alignment vertical="center" wrapText="1"/>
    </xf>
    <xf numFmtId="0" fontId="8" fillId="2" borderId="15" xfId="0" applyFont="1" applyFill="1" applyBorder="1" applyAlignment="1">
      <alignment horizontal="center" vertical="center"/>
    </xf>
    <xf numFmtId="164" fontId="8" fillId="2" borderId="15" xfId="21" applyNumberFormat="1" applyFont="1" applyFill="1" applyBorder="1" applyAlignment="1">
      <alignment horizontal="right" vertical="center"/>
    </xf>
    <xf numFmtId="164" fontId="8" fillId="2" borderId="15" xfId="21" applyNumberFormat="1" applyFont="1" applyFill="1" applyBorder="1" applyAlignment="1">
      <alignment horizontal="center" vertical="center"/>
    </xf>
    <xf numFmtId="164" fontId="9" fillId="3" borderId="15" xfId="1" applyNumberFormat="1" applyFont="1" applyFill="1" applyBorder="1" applyAlignment="1">
      <alignment horizontal="center"/>
    </xf>
    <xf numFmtId="164" fontId="8" fillId="2" borderId="15" xfId="21" applyNumberFormat="1" applyFont="1" applyFill="1" applyBorder="1" applyAlignment="1">
      <alignment horizontal="center" vertical="center" wrapText="1"/>
    </xf>
    <xf numFmtId="170" fontId="6" fillId="0" borderId="2" xfId="0" applyNumberFormat="1" applyFont="1" applyBorder="1" applyAlignment="1"/>
    <xf numFmtId="2" fontId="6" fillId="0" borderId="2" xfId="0" applyNumberFormat="1" applyFont="1" applyBorder="1" applyAlignment="1">
      <alignment horizontal="left" vertical="center" wrapText="1"/>
    </xf>
    <xf numFmtId="172" fontId="6" fillId="0" borderId="2" xfId="0" applyNumberFormat="1" applyFont="1" applyBorder="1"/>
    <xf numFmtId="170" fontId="6" fillId="0" borderId="0" xfId="0" applyNumberFormat="1" applyFont="1" applyBorder="1" applyAlignment="1"/>
    <xf numFmtId="2" fontId="6" fillId="0" borderId="0" xfId="0" applyNumberFormat="1" applyFont="1" applyBorder="1" applyAlignment="1">
      <alignment horizontal="left" vertical="center" wrapText="1"/>
    </xf>
    <xf numFmtId="172" fontId="6" fillId="0" borderId="0" xfId="0" applyNumberFormat="1" applyFont="1" applyBorder="1"/>
    <xf numFmtId="0" fontId="6" fillId="0" borderId="0" xfId="0" applyFont="1" applyBorder="1" applyAlignment="1">
      <alignment horizontal="left"/>
    </xf>
    <xf numFmtId="170" fontId="6" fillId="0" borderId="0" xfId="0" applyNumberFormat="1" applyFont="1" applyBorder="1"/>
    <xf numFmtId="0" fontId="8" fillId="0" borderId="22" xfId="0" applyFont="1" applyBorder="1" applyAlignment="1">
      <alignment horizontal="left" vertical="center"/>
    </xf>
    <xf numFmtId="164" fontId="6" fillId="0" borderId="22" xfId="1" applyNumberFormat="1" applyFont="1" applyBorder="1" applyAlignment="1">
      <alignment vertical="center"/>
    </xf>
    <xf numFmtId="164" fontId="6" fillId="0" borderId="22" xfId="1" applyNumberFormat="1" applyFont="1" applyBorder="1"/>
    <xf numFmtId="164" fontId="9" fillId="3" borderId="14" xfId="1" applyNumberFormat="1" applyFont="1" applyFill="1" applyBorder="1" applyAlignment="1">
      <alignment horizontal="center" vertical="center"/>
    </xf>
    <xf numFmtId="164" fontId="9" fillId="0" borderId="14" xfId="1" applyNumberFormat="1" applyFont="1" applyFill="1" applyBorder="1" applyAlignment="1">
      <alignment vertical="center"/>
    </xf>
    <xf numFmtId="0" fontId="8" fillId="0" borderId="14" xfId="7" applyFont="1" applyBorder="1" applyAlignment="1">
      <alignment horizontal="center" vertical="center"/>
    </xf>
    <xf numFmtId="0" fontId="8" fillId="0" borderId="14" xfId="26" applyFont="1" applyBorder="1" applyAlignment="1">
      <alignment horizontal="center" vertical="center" wrapText="1"/>
    </xf>
    <xf numFmtId="0" fontId="6" fillId="0" borderId="15" xfId="0" applyFont="1" applyBorder="1" applyAlignment="1">
      <alignment horizontal="center" vertical="center"/>
    </xf>
    <xf numFmtId="0" fontId="6" fillId="6" borderId="15" xfId="0" applyFont="1" applyFill="1" applyBorder="1" applyAlignment="1">
      <alignment horizontal="right" vertical="center"/>
    </xf>
    <xf numFmtId="164" fontId="6" fillId="6" borderId="15" xfId="1" applyNumberFormat="1" applyFont="1" applyFill="1" applyBorder="1" applyAlignment="1">
      <alignment horizontal="right" vertical="center"/>
    </xf>
    <xf numFmtId="164" fontId="6" fillId="0" borderId="15" xfId="0" applyNumberFormat="1" applyFont="1" applyBorder="1" applyAlignment="1">
      <alignment vertical="center"/>
    </xf>
    <xf numFmtId="164" fontId="9" fillId="3" borderId="15" xfId="1" applyNumberFormat="1" applyFont="1" applyFill="1" applyBorder="1" applyAlignment="1">
      <alignment horizontal="center" vertical="center"/>
    </xf>
    <xf numFmtId="164" fontId="9" fillId="0" borderId="15" xfId="1" applyNumberFormat="1" applyFont="1" applyFill="1" applyBorder="1" applyAlignment="1">
      <alignment vertical="center"/>
    </xf>
    <xf numFmtId="0" fontId="8" fillId="0" borderId="15" xfId="7" applyFont="1" applyBorder="1" applyAlignment="1">
      <alignment horizontal="center" vertical="center"/>
    </xf>
    <xf numFmtId="0" fontId="8" fillId="0" borderId="15" xfId="26" applyFont="1" applyBorder="1" applyAlignment="1">
      <alignment horizontal="center" vertical="center" wrapText="1"/>
    </xf>
    <xf numFmtId="0" fontId="6" fillId="0" borderId="15" xfId="0" applyFont="1" applyBorder="1" applyAlignment="1">
      <alignment vertical="center"/>
    </xf>
    <xf numFmtId="0" fontId="6" fillId="6" borderId="22" xfId="0" applyFont="1" applyFill="1" applyBorder="1" applyAlignment="1">
      <alignment horizontal="center" vertical="center"/>
    </xf>
    <xf numFmtId="3" fontId="6" fillId="0" borderId="22" xfId="0" applyNumberFormat="1" applyFont="1" applyBorder="1" applyAlignment="1">
      <alignment vertical="center"/>
    </xf>
    <xf numFmtId="3" fontId="6" fillId="0" borderId="22" xfId="0" applyNumberFormat="1" applyFont="1" applyBorder="1" applyAlignment="1">
      <alignment vertical="center" wrapText="1"/>
    </xf>
    <xf numFmtId="0" fontId="6" fillId="6" borderId="14" xfId="0" applyFont="1" applyFill="1" applyBorder="1" applyAlignment="1">
      <alignment horizontal="center" vertical="center"/>
    </xf>
    <xf numFmtId="3" fontId="6" fillId="0" borderId="14" xfId="0" applyNumberFormat="1" applyFont="1" applyBorder="1" applyAlignment="1">
      <alignment vertical="center"/>
    </xf>
    <xf numFmtId="0" fontId="8" fillId="2" borderId="14" xfId="27" applyFont="1" applyFill="1" applyBorder="1" applyAlignment="1">
      <alignment horizontal="center" vertical="center" wrapText="1"/>
    </xf>
    <xf numFmtId="3" fontId="6" fillId="0" borderId="14" xfId="0" applyNumberFormat="1" applyFont="1" applyBorder="1" applyAlignment="1">
      <alignment horizontal="center" vertical="center"/>
    </xf>
    <xf numFmtId="3" fontId="6" fillId="0" borderId="14" xfId="0" applyNumberFormat="1" applyFont="1" applyBorder="1" applyAlignment="1">
      <alignment horizontal="center" vertical="center" wrapText="1"/>
    </xf>
    <xf numFmtId="164" fontId="8" fillId="0" borderId="14" xfId="1" applyNumberFormat="1" applyFont="1" applyFill="1" applyBorder="1" applyAlignment="1">
      <alignment horizontal="center"/>
    </xf>
    <xf numFmtId="0" fontId="8" fillId="2" borderId="14" xfId="5" applyFont="1" applyFill="1" applyBorder="1" applyAlignment="1">
      <alignment horizontal="center" vertical="center" wrapText="1"/>
    </xf>
    <xf numFmtId="3" fontId="6" fillId="6" borderId="14" xfId="0" applyNumberFormat="1" applyFont="1" applyFill="1" applyBorder="1" applyAlignment="1">
      <alignment horizontal="center" vertical="center"/>
    </xf>
    <xf numFmtId="0" fontId="6" fillId="6" borderId="15" xfId="0" applyFont="1" applyFill="1" applyBorder="1" applyAlignment="1">
      <alignment horizontal="center" vertical="center"/>
    </xf>
    <xf numFmtId="3" fontId="6" fillId="0" borderId="15" xfId="0" applyNumberFormat="1" applyFont="1" applyBorder="1" applyAlignment="1">
      <alignment vertical="center"/>
    </xf>
    <xf numFmtId="3" fontId="6" fillId="0" borderId="15" xfId="0" applyNumberFormat="1" applyFont="1" applyBorder="1" applyAlignment="1">
      <alignment vertical="center" wrapText="1"/>
    </xf>
    <xf numFmtId="164" fontId="9" fillId="0" borderId="15" xfId="1" applyNumberFormat="1" applyFont="1" applyFill="1" applyBorder="1"/>
    <xf numFmtId="0" fontId="8" fillId="2" borderId="15" xfId="0" quotePrefix="1" applyFont="1" applyFill="1" applyBorder="1" applyAlignment="1">
      <alignment horizontal="center" vertical="center" wrapText="1"/>
    </xf>
    <xf numFmtId="3" fontId="6" fillId="0" borderId="2" xfId="0" applyNumberFormat="1" applyFont="1" applyBorder="1" applyAlignment="1">
      <alignment horizontal="center" wrapText="1"/>
    </xf>
    <xf numFmtId="0" fontId="6" fillId="0" borderId="2" xfId="0" applyFont="1" applyBorder="1" applyAlignment="1">
      <alignment wrapText="1"/>
    </xf>
    <xf numFmtId="0" fontId="6" fillId="0" borderId="2" xfId="0" applyFont="1" applyBorder="1" applyAlignment="1">
      <alignment horizontal="center" wrapText="1"/>
    </xf>
    <xf numFmtId="0" fontId="6" fillId="0" borderId="22" xfId="0" applyFont="1" applyBorder="1" applyAlignment="1">
      <alignment vertical="top" wrapText="1"/>
    </xf>
    <xf numFmtId="164" fontId="8" fillId="2" borderId="22" xfId="1" applyNumberFormat="1" applyFont="1" applyFill="1" applyBorder="1" applyAlignment="1">
      <alignment vertical="top" wrapText="1"/>
    </xf>
    <xf numFmtId="164" fontId="8" fillId="0" borderId="22" xfId="28" applyNumberFormat="1" applyFont="1" applyBorder="1" applyAlignment="1">
      <alignment vertical="top" wrapText="1"/>
    </xf>
    <xf numFmtId="166" fontId="6" fillId="0" borderId="22" xfId="1" applyNumberFormat="1" applyFont="1" applyBorder="1" applyAlignment="1">
      <alignment vertical="top" wrapText="1"/>
    </xf>
    <xf numFmtId="164" fontId="9" fillId="3" borderId="22" xfId="1" applyNumberFormat="1" applyFont="1" applyFill="1" applyBorder="1" applyAlignment="1">
      <alignment vertical="top" wrapText="1"/>
    </xf>
    <xf numFmtId="164" fontId="9" fillId="0" borderId="22" xfId="1" applyNumberFormat="1" applyFont="1" applyFill="1" applyBorder="1" applyAlignment="1">
      <alignment vertical="top" wrapText="1"/>
    </xf>
    <xf numFmtId="164" fontId="8" fillId="0" borderId="22" xfId="1" applyNumberFormat="1" applyFont="1" applyFill="1" applyBorder="1" applyAlignment="1">
      <alignment vertical="top" wrapText="1"/>
    </xf>
    <xf numFmtId="0" fontId="6" fillId="0" borderId="22" xfId="0" quotePrefix="1" applyFont="1" applyBorder="1" applyAlignment="1">
      <alignment vertical="top" wrapText="1"/>
    </xf>
    <xf numFmtId="0" fontId="6" fillId="0" borderId="14" xfId="0" applyFont="1" applyBorder="1" applyAlignment="1">
      <alignment vertical="top" wrapText="1"/>
    </xf>
    <xf numFmtId="164" fontId="8" fillId="2" borderId="14" xfId="1" applyNumberFormat="1" applyFont="1" applyFill="1" applyBorder="1" applyAlignment="1">
      <alignment vertical="top" wrapText="1"/>
    </xf>
    <xf numFmtId="164" fontId="8" fillId="0" borderId="14" xfId="28" applyNumberFormat="1" applyFont="1" applyFill="1" applyBorder="1" applyAlignment="1">
      <alignment vertical="top" wrapText="1"/>
    </xf>
    <xf numFmtId="166" fontId="6" fillId="0" borderId="14" xfId="1" applyNumberFormat="1" applyFont="1" applyBorder="1" applyAlignment="1">
      <alignment vertical="top" wrapText="1"/>
    </xf>
    <xf numFmtId="164" fontId="9" fillId="3" borderId="14" xfId="1" applyNumberFormat="1" applyFont="1" applyFill="1" applyBorder="1" applyAlignment="1">
      <alignment vertical="top" wrapText="1"/>
    </xf>
    <xf numFmtId="164" fontId="9" fillId="0" borderId="14" xfId="1" applyNumberFormat="1" applyFont="1" applyFill="1" applyBorder="1" applyAlignment="1">
      <alignment vertical="top" wrapText="1"/>
    </xf>
    <xf numFmtId="164" fontId="8" fillId="0" borderId="14" xfId="1" applyNumberFormat="1" applyFont="1" applyFill="1" applyBorder="1" applyAlignment="1">
      <alignment vertical="top" wrapText="1"/>
    </xf>
    <xf numFmtId="0" fontId="6" fillId="0" borderId="14" xfId="0" quotePrefix="1" applyFont="1" applyBorder="1" applyAlignment="1">
      <alignment vertical="top" wrapText="1"/>
    </xf>
    <xf numFmtId="3" fontId="8" fillId="0" borderId="14" xfId="5" applyNumberFormat="1" applyFont="1" applyFill="1" applyBorder="1" applyAlignment="1">
      <alignment vertical="top" wrapText="1"/>
    </xf>
    <xf numFmtId="0" fontId="6" fillId="0" borderId="15" xfId="0" applyFont="1" applyBorder="1" applyAlignment="1">
      <alignment vertical="top" wrapText="1"/>
    </xf>
    <xf numFmtId="3" fontId="8" fillId="0" borderId="15" xfId="5" applyNumberFormat="1" applyFont="1" applyFill="1" applyBorder="1" applyAlignment="1">
      <alignment vertical="top" wrapText="1"/>
    </xf>
    <xf numFmtId="166" fontId="6" fillId="0" borderId="15" xfId="1" applyNumberFormat="1" applyFont="1" applyBorder="1" applyAlignment="1">
      <alignment vertical="top" wrapText="1"/>
    </xf>
    <xf numFmtId="164" fontId="9" fillId="3" borderId="15" xfId="1" applyNumberFormat="1" applyFont="1" applyFill="1" applyBorder="1" applyAlignment="1">
      <alignment vertical="top" wrapText="1"/>
    </xf>
    <xf numFmtId="164" fontId="9" fillId="0" borderId="15" xfId="1" applyNumberFormat="1" applyFont="1" applyFill="1" applyBorder="1" applyAlignment="1">
      <alignment vertical="top" wrapText="1"/>
    </xf>
    <xf numFmtId="164" fontId="8" fillId="0" borderId="15" xfId="1" applyNumberFormat="1" applyFont="1" applyFill="1" applyBorder="1" applyAlignment="1">
      <alignment vertical="top" wrapText="1"/>
    </xf>
    <xf numFmtId="0" fontId="6" fillId="0" borderId="15" xfId="0" quotePrefix="1" applyFont="1" applyBorder="1" applyAlignment="1">
      <alignment vertical="top" wrapText="1"/>
    </xf>
    <xf numFmtId="166" fontId="6" fillId="0" borderId="2" xfId="1" applyNumberFormat="1" applyFont="1" applyBorder="1" applyAlignment="1">
      <alignment horizontal="right" vertical="top" wrapText="1"/>
    </xf>
    <xf numFmtId="164" fontId="6" fillId="0" borderId="2" xfId="1" applyNumberFormat="1" applyFont="1" applyBorder="1" applyAlignment="1">
      <alignment horizontal="right" vertical="top" wrapText="1"/>
    </xf>
    <xf numFmtId="164" fontId="6" fillId="0" borderId="2" xfId="1" applyNumberFormat="1" applyFont="1" applyBorder="1" applyAlignment="1">
      <alignment vertical="top" wrapText="1"/>
    </xf>
    <xf numFmtId="0" fontId="6" fillId="0" borderId="2" xfId="0" applyFont="1" applyBorder="1" applyAlignment="1">
      <alignment vertical="top" wrapText="1"/>
    </xf>
    <xf numFmtId="0" fontId="8" fillId="0" borderId="22" xfId="0" applyFont="1" applyFill="1" applyBorder="1" applyAlignment="1">
      <alignment vertical="center" wrapText="1"/>
    </xf>
    <xf numFmtId="164" fontId="8" fillId="3" borderId="22" xfId="1" applyNumberFormat="1" applyFont="1" applyFill="1" applyBorder="1" applyAlignment="1">
      <alignment vertical="center" wrapText="1"/>
    </xf>
    <xf numFmtId="164" fontId="9" fillId="3" borderId="22" xfId="1" applyNumberFormat="1" applyFont="1" applyFill="1" applyBorder="1" applyAlignment="1">
      <alignment vertical="center" wrapText="1"/>
    </xf>
    <xf numFmtId="164" fontId="9" fillId="0" borderId="22" xfId="1" applyNumberFormat="1" applyFont="1" applyFill="1" applyBorder="1" applyAlignment="1">
      <alignment vertical="center" wrapText="1"/>
    </xf>
    <xf numFmtId="0" fontId="8" fillId="0" borderId="22" xfId="2" applyNumberFormat="1" applyFont="1" applyFill="1" applyBorder="1" applyAlignment="1">
      <alignment vertical="center" wrapText="1"/>
    </xf>
    <xf numFmtId="0" fontId="8" fillId="0" borderId="14" xfId="0" applyFont="1" applyFill="1" applyBorder="1" applyAlignment="1">
      <alignment vertical="center" wrapText="1"/>
    </xf>
    <xf numFmtId="164" fontId="8" fillId="3" borderId="14" xfId="1" applyNumberFormat="1" applyFont="1" applyFill="1" applyBorder="1" applyAlignment="1">
      <alignment vertical="center" wrapText="1"/>
    </xf>
    <xf numFmtId="164" fontId="9" fillId="3" borderId="14" xfId="1" applyNumberFormat="1" applyFont="1" applyFill="1" applyBorder="1" applyAlignment="1">
      <alignment vertical="center" wrapText="1"/>
    </xf>
    <xf numFmtId="164" fontId="9" fillId="0" borderId="14" xfId="1" applyNumberFormat="1" applyFont="1" applyFill="1" applyBorder="1" applyAlignment="1">
      <alignment vertical="center" wrapText="1"/>
    </xf>
    <xf numFmtId="0" fontId="8" fillId="0" borderId="14" xfId="2" applyNumberFormat="1" applyFont="1" applyFill="1" applyBorder="1" applyAlignment="1">
      <alignment vertical="center" wrapText="1"/>
    </xf>
    <xf numFmtId="3" fontId="8" fillId="0" borderId="14" xfId="0" applyNumberFormat="1" applyFont="1" applyFill="1" applyBorder="1" applyAlignment="1">
      <alignment vertical="center" wrapText="1"/>
    </xf>
    <xf numFmtId="3" fontId="9" fillId="3" borderId="14" xfId="0" applyNumberFormat="1" applyFont="1" applyFill="1" applyBorder="1" applyAlignment="1">
      <alignment vertical="center" wrapText="1"/>
    </xf>
    <xf numFmtId="0" fontId="9" fillId="0" borderId="14" xfId="2" applyNumberFormat="1" applyFont="1" applyFill="1" applyBorder="1" applyAlignment="1">
      <alignment vertical="center" wrapText="1"/>
    </xf>
    <xf numFmtId="3" fontId="8" fillId="3" borderId="14" xfId="0" applyNumberFormat="1" applyFont="1" applyFill="1" applyBorder="1" applyAlignment="1">
      <alignment vertical="center" wrapText="1"/>
    </xf>
    <xf numFmtId="0" fontId="8" fillId="0" borderId="23" xfId="0" applyFont="1" applyFill="1" applyBorder="1" applyAlignment="1">
      <alignment vertical="center" wrapText="1"/>
    </xf>
    <xf numFmtId="3" fontId="9" fillId="3" borderId="23" xfId="0" applyNumberFormat="1" applyFont="1" applyFill="1" applyBorder="1" applyAlignment="1">
      <alignment vertical="center" wrapText="1"/>
    </xf>
    <xf numFmtId="164" fontId="8" fillId="3" borderId="23" xfId="1" applyNumberFormat="1" applyFont="1" applyFill="1" applyBorder="1" applyAlignment="1">
      <alignment vertical="center" wrapText="1"/>
    </xf>
    <xf numFmtId="164" fontId="9" fillId="3" borderId="23" xfId="1" applyNumberFormat="1" applyFont="1" applyFill="1" applyBorder="1" applyAlignment="1">
      <alignment vertical="center" wrapText="1"/>
    </xf>
    <xf numFmtId="0" fontId="8" fillId="0" borderId="23" xfId="2" applyNumberFormat="1" applyFont="1" applyFill="1" applyBorder="1" applyAlignment="1">
      <alignment vertical="center" wrapText="1"/>
    </xf>
    <xf numFmtId="0" fontId="8" fillId="0" borderId="3" xfId="0" applyFont="1" applyFill="1" applyBorder="1" applyAlignment="1">
      <alignment horizontal="center" vertical="top" wrapText="1"/>
    </xf>
    <xf numFmtId="0" fontId="8" fillId="0" borderId="2" xfId="5" applyFont="1" applyFill="1" applyBorder="1" applyAlignment="1">
      <alignment horizontal="left" vertical="top" wrapText="1"/>
    </xf>
    <xf numFmtId="0" fontId="8" fillId="0" borderId="2" xfId="5" applyFont="1" applyFill="1" applyBorder="1" applyAlignment="1">
      <alignment horizontal="center" vertical="top" wrapText="1"/>
    </xf>
    <xf numFmtId="1" fontId="8" fillId="0" borderId="2" xfId="0" applyNumberFormat="1" applyFont="1" applyFill="1" applyBorder="1" applyAlignment="1">
      <alignment horizontal="center" vertical="top"/>
    </xf>
    <xf numFmtId="164" fontId="8" fillId="0" borderId="2" xfId="1" applyNumberFormat="1" applyFont="1" applyFill="1" applyBorder="1" applyAlignment="1">
      <alignment vertical="top"/>
    </xf>
    <xf numFmtId="3" fontId="8" fillId="0" borderId="2" xfId="0" applyNumberFormat="1" applyFont="1" applyFill="1" applyBorder="1" applyAlignment="1">
      <alignment horizontal="center" vertical="top" wrapText="1"/>
    </xf>
    <xf numFmtId="0" fontId="8" fillId="0" borderId="2" xfId="0" applyFont="1" applyFill="1" applyBorder="1" applyAlignment="1">
      <alignment vertical="top"/>
    </xf>
    <xf numFmtId="173" fontId="8" fillId="0" borderId="2" xfId="2" applyNumberFormat="1" applyFont="1" applyFill="1" applyBorder="1" applyAlignment="1">
      <alignment vertical="top"/>
    </xf>
    <xf numFmtId="164" fontId="8" fillId="0" borderId="0" xfId="1" applyNumberFormat="1" applyFont="1" applyFill="1" applyBorder="1" applyAlignment="1">
      <alignment horizontal="center"/>
    </xf>
    <xf numFmtId="164" fontId="8" fillId="0" borderId="0" xfId="1" applyNumberFormat="1" applyFont="1" applyFill="1" applyAlignment="1">
      <alignment horizontal="center"/>
    </xf>
    <xf numFmtId="173" fontId="8" fillId="0" borderId="0" xfId="2" applyNumberFormat="1" applyFont="1" applyFill="1"/>
    <xf numFmtId="164" fontId="8" fillId="0" borderId="0" xfId="1" applyNumberFormat="1" applyFont="1" applyFill="1" applyAlignment="1"/>
    <xf numFmtId="0" fontId="25" fillId="2" borderId="22" xfId="0" applyFont="1" applyFill="1" applyBorder="1" applyAlignment="1">
      <alignment vertical="center" wrapText="1"/>
    </xf>
    <xf numFmtId="0" fontId="26" fillId="2" borderId="22" xfId="0" applyFont="1" applyFill="1" applyBorder="1" applyAlignment="1">
      <alignment vertical="center" wrapText="1"/>
    </xf>
    <xf numFmtId="166" fontId="26" fillId="2" borderId="22" xfId="1" applyNumberFormat="1" applyFont="1" applyFill="1" applyBorder="1" applyAlignment="1">
      <alignment vertical="center" wrapText="1"/>
    </xf>
    <xf numFmtId="3" fontId="27" fillId="2" borderId="22" xfId="0" applyNumberFormat="1" applyFont="1" applyFill="1" applyBorder="1" applyAlignment="1">
      <alignment vertical="center" wrapText="1"/>
    </xf>
    <xf numFmtId="164" fontId="27" fillId="2" borderId="22" xfId="1" applyNumberFormat="1" applyFont="1" applyFill="1" applyBorder="1" applyAlignment="1">
      <alignment vertical="center" wrapText="1"/>
    </xf>
    <xf numFmtId="164" fontId="25" fillId="2" borderId="22" xfId="1" applyNumberFormat="1" applyFont="1" applyFill="1" applyBorder="1" applyAlignment="1">
      <alignment vertical="center" wrapText="1"/>
    </xf>
    <xf numFmtId="0" fontId="26" fillId="2" borderId="0" xfId="0" applyFont="1" applyFill="1" applyBorder="1" applyAlignment="1">
      <alignment vertical="center" wrapText="1"/>
    </xf>
    <xf numFmtId="164" fontId="26" fillId="2" borderId="0" xfId="1" applyNumberFormat="1" applyFont="1" applyFill="1" applyAlignment="1">
      <alignment vertical="center" wrapText="1"/>
    </xf>
    <xf numFmtId="0" fontId="26" fillId="2" borderId="0" xfId="0" applyFont="1" applyFill="1" applyAlignment="1">
      <alignment vertical="center" wrapText="1"/>
    </xf>
    <xf numFmtId="0" fontId="25" fillId="2" borderId="14" xfId="0" applyFont="1" applyFill="1" applyBorder="1" applyAlignment="1">
      <alignment vertical="center" wrapText="1"/>
    </xf>
    <xf numFmtId="0" fontId="26" fillId="2" borderId="14" xfId="0" applyFont="1" applyFill="1" applyBorder="1" applyAlignment="1">
      <alignment vertical="center" wrapText="1"/>
    </xf>
    <xf numFmtId="166" fontId="26" fillId="2" borderId="14" xfId="1" applyNumberFormat="1" applyFont="1" applyFill="1" applyBorder="1" applyAlignment="1">
      <alignment vertical="center" wrapText="1"/>
    </xf>
    <xf numFmtId="3" fontId="27" fillId="2" borderId="14" xfId="0" applyNumberFormat="1" applyFont="1" applyFill="1" applyBorder="1" applyAlignment="1">
      <alignment vertical="center" wrapText="1"/>
    </xf>
    <xf numFmtId="164" fontId="27" fillId="2" borderId="14" xfId="1" applyNumberFormat="1" applyFont="1" applyFill="1" applyBorder="1" applyAlignment="1">
      <alignment vertical="center" wrapText="1"/>
    </xf>
    <xf numFmtId="164" fontId="25" fillId="2" borderId="14" xfId="1" applyNumberFormat="1" applyFont="1" applyFill="1" applyBorder="1" applyAlignment="1">
      <alignment vertical="center" wrapText="1"/>
    </xf>
    <xf numFmtId="169" fontId="25" fillId="2" borderId="14" xfId="1" applyNumberFormat="1" applyFont="1" applyFill="1" applyBorder="1" applyAlignment="1">
      <alignment vertical="center" wrapText="1"/>
    </xf>
    <xf numFmtId="0" fontId="25" fillId="2" borderId="23" xfId="0" applyFont="1" applyFill="1" applyBorder="1" applyAlignment="1">
      <alignment vertical="center" wrapText="1"/>
    </xf>
    <xf numFmtId="0" fontId="26" fillId="2" borderId="23" xfId="0" applyFont="1" applyFill="1" applyBorder="1" applyAlignment="1">
      <alignment vertical="center" wrapText="1"/>
    </xf>
    <xf numFmtId="166" fontId="26" fillId="2" borderId="23" xfId="1" applyNumberFormat="1" applyFont="1" applyFill="1" applyBorder="1" applyAlignment="1">
      <alignment vertical="center" wrapText="1"/>
    </xf>
    <xf numFmtId="3" fontId="27" fillId="2" borderId="23" xfId="0" applyNumberFormat="1" applyFont="1" applyFill="1" applyBorder="1" applyAlignment="1">
      <alignment vertical="center" wrapText="1"/>
    </xf>
    <xf numFmtId="164" fontId="27" fillId="2" borderId="23" xfId="1" applyNumberFormat="1" applyFont="1" applyFill="1" applyBorder="1" applyAlignment="1">
      <alignment vertical="center" wrapText="1"/>
    </xf>
    <xf numFmtId="164" fontId="25" fillId="2" borderId="23" xfId="1" applyNumberFormat="1" applyFont="1" applyFill="1" applyBorder="1" applyAlignment="1">
      <alignment vertical="center" wrapText="1"/>
    </xf>
    <xf numFmtId="0" fontId="25" fillId="2" borderId="3" xfId="0" applyFont="1" applyFill="1" applyBorder="1" applyAlignment="1">
      <alignment vertical="center" wrapText="1"/>
    </xf>
    <xf numFmtId="164" fontId="28" fillId="2" borderId="3" xfId="1" applyNumberFormat="1" applyFont="1" applyFill="1" applyBorder="1" applyAlignment="1">
      <alignment vertical="center" wrapText="1"/>
    </xf>
    <xf numFmtId="0" fontId="28" fillId="2" borderId="3" xfId="0" applyFont="1" applyFill="1" applyBorder="1" applyAlignment="1">
      <alignment vertical="center" wrapText="1"/>
    </xf>
    <xf numFmtId="164" fontId="25" fillId="2" borderId="3" xfId="1" applyNumberFormat="1" applyFont="1" applyFill="1" applyBorder="1" applyAlignment="1">
      <alignment vertical="center" wrapText="1"/>
    </xf>
    <xf numFmtId="164" fontId="26" fillId="2" borderId="3" xfId="1" applyNumberFormat="1" applyFont="1" applyFill="1" applyBorder="1" applyAlignment="1">
      <alignment vertical="center" wrapText="1"/>
    </xf>
    <xf numFmtId="0" fontId="26" fillId="2" borderId="3" xfId="0" applyFont="1" applyFill="1" applyBorder="1" applyAlignment="1">
      <alignment vertical="center" wrapText="1"/>
    </xf>
    <xf numFmtId="0" fontId="25" fillId="2" borderId="0" xfId="0" applyFont="1" applyFill="1" applyBorder="1" applyAlignment="1">
      <alignment horizontal="center" vertical="center"/>
    </xf>
    <xf numFmtId="0" fontId="26" fillId="2" borderId="0" xfId="0" applyFont="1" applyFill="1"/>
    <xf numFmtId="0" fontId="26" fillId="2" borderId="0" xfId="0" applyFont="1" applyFill="1" applyAlignment="1">
      <alignment horizontal="center"/>
    </xf>
    <xf numFmtId="164" fontId="26" fillId="2" borderId="0" xfId="1" applyNumberFormat="1" applyFont="1" applyFill="1"/>
    <xf numFmtId="164" fontId="26" fillId="2" borderId="0" xfId="1" applyNumberFormat="1" applyFont="1" applyFill="1" applyAlignment="1">
      <alignment horizontal="left"/>
    </xf>
    <xf numFmtId="0" fontId="6" fillId="0" borderId="22" xfId="0" applyFont="1" applyFill="1" applyBorder="1" applyAlignment="1">
      <alignment vertical="center" wrapText="1"/>
    </xf>
    <xf numFmtId="41" fontId="6" fillId="0" borderId="22" xfId="0" applyNumberFormat="1" applyFont="1" applyFill="1" applyBorder="1" applyAlignment="1">
      <alignment vertical="center" wrapText="1"/>
    </xf>
    <xf numFmtId="0" fontId="6" fillId="0" borderId="22" xfId="0" quotePrefix="1" applyFont="1" applyFill="1" applyBorder="1" applyAlignment="1">
      <alignment vertical="center" wrapText="1"/>
    </xf>
    <xf numFmtId="0" fontId="6" fillId="0" borderId="14" xfId="0" applyFont="1" applyFill="1" applyBorder="1" applyAlignment="1">
      <alignment vertical="center" wrapText="1"/>
    </xf>
    <xf numFmtId="41" fontId="6" fillId="0" borderId="14" xfId="0" applyNumberFormat="1" applyFont="1" applyFill="1" applyBorder="1" applyAlignment="1">
      <alignment vertical="center" wrapText="1"/>
    </xf>
    <xf numFmtId="0" fontId="6" fillId="0" borderId="14" xfId="0" quotePrefix="1" applyFont="1" applyFill="1" applyBorder="1" applyAlignment="1">
      <alignment vertical="center" wrapText="1"/>
    </xf>
    <xf numFmtId="0" fontId="6" fillId="0" borderId="23" xfId="0" applyFont="1" applyFill="1" applyBorder="1" applyAlignment="1">
      <alignment vertical="center" wrapText="1"/>
    </xf>
    <xf numFmtId="41" fontId="6" fillId="0" borderId="23" xfId="0" applyNumberFormat="1" applyFont="1" applyFill="1" applyBorder="1" applyAlignment="1">
      <alignment vertical="center" wrapText="1"/>
    </xf>
    <xf numFmtId="164" fontId="9" fillId="0" borderId="23" xfId="1" applyNumberFormat="1" applyFont="1" applyFill="1" applyBorder="1" applyAlignment="1">
      <alignment vertical="center" wrapText="1"/>
    </xf>
    <xf numFmtId="41" fontId="8" fillId="0" borderId="2" xfId="0" applyNumberFormat="1" applyFont="1" applyFill="1" applyBorder="1" applyAlignment="1">
      <alignment vertical="center" wrapText="1"/>
    </xf>
    <xf numFmtId="0" fontId="8" fillId="6" borderId="22" xfId="0" applyFont="1" applyFill="1" applyBorder="1" applyAlignment="1">
      <alignment vertical="center" wrapText="1"/>
    </xf>
    <xf numFmtId="164" fontId="31" fillId="0" borderId="22" xfId="1" quotePrefix="1" applyNumberFormat="1" applyFont="1" applyBorder="1" applyAlignment="1">
      <alignment vertical="center" wrapText="1"/>
    </xf>
    <xf numFmtId="0" fontId="31" fillId="0" borderId="22" xfId="0" applyFont="1" applyBorder="1" applyAlignment="1">
      <alignment vertical="center" wrapText="1"/>
    </xf>
    <xf numFmtId="0" fontId="8" fillId="6" borderId="14" xfId="0" applyFont="1" applyFill="1" applyBorder="1" applyAlignment="1">
      <alignment vertical="center" wrapText="1"/>
    </xf>
    <xf numFmtId="164" fontId="31" fillId="0" borderId="14" xfId="1" quotePrefix="1" applyNumberFormat="1" applyFont="1" applyBorder="1" applyAlignment="1">
      <alignment vertical="center" wrapText="1"/>
    </xf>
    <xf numFmtId="0" fontId="31" fillId="0" borderId="14" xfId="0" applyFont="1" applyBorder="1" applyAlignment="1">
      <alignment vertical="center" wrapText="1"/>
    </xf>
    <xf numFmtId="0" fontId="31" fillId="0" borderId="14" xfId="1" applyNumberFormat="1" applyFont="1" applyBorder="1" applyAlignment="1">
      <alignment vertical="center" wrapText="1"/>
    </xf>
    <xf numFmtId="164" fontId="31" fillId="0" borderId="14" xfId="1" applyNumberFormat="1" applyFont="1" applyBorder="1" applyAlignment="1">
      <alignment vertical="center" wrapText="1"/>
    </xf>
    <xf numFmtId="0" fontId="8" fillId="6" borderId="23" xfId="0" applyFont="1" applyFill="1" applyBorder="1" applyAlignment="1">
      <alignment vertical="center" wrapText="1"/>
    </xf>
    <xf numFmtId="164" fontId="31" fillId="0" borderId="23" xfId="1" quotePrefix="1" applyNumberFormat="1" applyFont="1" applyBorder="1" applyAlignment="1">
      <alignment vertical="center" wrapText="1"/>
    </xf>
    <xf numFmtId="164" fontId="31" fillId="0" borderId="23" xfId="1" applyNumberFormat="1" applyFont="1" applyBorder="1" applyAlignment="1">
      <alignment vertical="center" wrapText="1"/>
    </xf>
    <xf numFmtId="164" fontId="6" fillId="0" borderId="22" xfId="1" applyNumberFormat="1" applyFont="1" applyBorder="1" applyAlignment="1">
      <alignment vertical="center" wrapText="1"/>
    </xf>
    <xf numFmtId="164" fontId="6" fillId="0" borderId="15" xfId="1" applyNumberFormat="1" applyFont="1" applyBorder="1" applyAlignment="1">
      <alignment vertical="center" wrapText="1"/>
    </xf>
    <xf numFmtId="164" fontId="9" fillId="3" borderId="15" xfId="1" applyNumberFormat="1" applyFont="1" applyFill="1" applyBorder="1" applyAlignment="1">
      <alignment vertical="center" wrapText="1"/>
    </xf>
    <xf numFmtId="164" fontId="9" fillId="0" borderId="15" xfId="1" applyNumberFormat="1" applyFont="1" applyFill="1" applyBorder="1" applyAlignment="1">
      <alignment vertical="center" wrapText="1"/>
    </xf>
    <xf numFmtId="170" fontId="6" fillId="0" borderId="22" xfId="0" applyNumberFormat="1" applyFont="1" applyFill="1" applyBorder="1" applyAlignment="1">
      <alignment horizontal="center" vertical="center" wrapText="1"/>
    </xf>
    <xf numFmtId="170" fontId="8" fillId="0" borderId="22" xfId="24" applyNumberFormat="1" applyFont="1" applyFill="1" applyBorder="1" applyAlignment="1">
      <alignment horizontal="center" vertical="center" wrapText="1"/>
    </xf>
    <xf numFmtId="170" fontId="8" fillId="0" borderId="22" xfId="24" applyNumberFormat="1" applyFont="1" applyFill="1" applyBorder="1" applyAlignment="1">
      <alignment horizontal="left" vertical="center" wrapText="1"/>
    </xf>
    <xf numFmtId="170" fontId="8" fillId="0" borderId="22" xfId="25" applyNumberFormat="1" applyFont="1" applyFill="1" applyBorder="1" applyAlignment="1">
      <alignment vertical="center" wrapText="1"/>
    </xf>
    <xf numFmtId="170" fontId="8" fillId="0" borderId="22" xfId="29" applyNumberFormat="1" applyFont="1" applyFill="1" applyBorder="1" applyAlignment="1">
      <alignment horizontal="center" vertical="center" wrapText="1"/>
    </xf>
    <xf numFmtId="170" fontId="8" fillId="0" borderId="22" xfId="25" applyNumberFormat="1" applyFont="1" applyFill="1" applyBorder="1" applyAlignment="1">
      <alignment horizontal="right" vertical="center" wrapText="1"/>
    </xf>
    <xf numFmtId="170" fontId="6" fillId="0" borderId="22" xfId="0" applyNumberFormat="1" applyFont="1" applyBorder="1" applyAlignment="1">
      <alignment horizontal="right" vertical="center"/>
    </xf>
    <xf numFmtId="170" fontId="6" fillId="0" borderId="22" xfId="0" applyNumberFormat="1" applyFont="1" applyBorder="1" applyAlignment="1">
      <alignment vertical="center" wrapText="1"/>
    </xf>
    <xf numFmtId="172" fontId="6" fillId="0" borderId="22" xfId="0" applyNumberFormat="1" applyFont="1" applyBorder="1" applyAlignment="1">
      <alignment horizontal="center" vertical="center" wrapText="1"/>
    </xf>
    <xf numFmtId="170" fontId="8" fillId="0" borderId="22" xfId="0" applyNumberFormat="1" applyFont="1" applyFill="1" applyBorder="1" applyAlignment="1">
      <alignment horizontal="center" vertical="center" wrapText="1"/>
    </xf>
    <xf numFmtId="170" fontId="6" fillId="4" borderId="14" xfId="0" applyNumberFormat="1" applyFont="1" applyFill="1" applyBorder="1" applyAlignment="1">
      <alignment horizontal="center" vertical="center" wrapText="1"/>
    </xf>
    <xf numFmtId="170" fontId="8" fillId="4" borderId="14" xfId="24" applyNumberFormat="1" applyFont="1" applyFill="1" applyBorder="1" applyAlignment="1">
      <alignment horizontal="center" vertical="center" wrapText="1"/>
    </xf>
    <xf numFmtId="170" fontId="8" fillId="4" borderId="14" xfId="24" applyNumberFormat="1" applyFont="1" applyFill="1" applyBorder="1" applyAlignment="1">
      <alignment horizontal="left" vertical="center" wrapText="1"/>
    </xf>
    <xf numFmtId="170" fontId="8" fillId="4" borderId="14" xfId="25" applyNumberFormat="1" applyFont="1" applyFill="1" applyBorder="1" applyAlignment="1">
      <alignment vertical="center" wrapText="1"/>
    </xf>
    <xf numFmtId="170" fontId="8" fillId="4" borderId="14" xfId="29" applyNumberFormat="1" applyFont="1" applyFill="1" applyBorder="1" applyAlignment="1">
      <alignment horizontal="center" vertical="center" wrapText="1"/>
    </xf>
    <xf numFmtId="170" fontId="6" fillId="4" borderId="14" xfId="0" applyNumberFormat="1" applyFont="1" applyFill="1" applyBorder="1" applyAlignment="1">
      <alignment horizontal="right" vertical="center"/>
    </xf>
    <xf numFmtId="170" fontId="6" fillId="4" borderId="14" xfId="0" applyNumberFormat="1" applyFont="1" applyFill="1" applyBorder="1" applyAlignment="1">
      <alignment vertical="center" wrapText="1"/>
    </xf>
    <xf numFmtId="172" fontId="6" fillId="4" borderId="14" xfId="0" applyNumberFormat="1" applyFont="1" applyFill="1" applyBorder="1" applyAlignment="1">
      <alignment horizontal="center" vertical="center" wrapText="1"/>
    </xf>
    <xf numFmtId="170" fontId="8" fillId="4" borderId="14" xfId="0" applyNumberFormat="1" applyFont="1" applyFill="1" applyBorder="1" applyAlignment="1">
      <alignment horizontal="center" vertical="center" wrapText="1"/>
    </xf>
    <xf numFmtId="170" fontId="6" fillId="0" borderId="14" xfId="0" applyNumberFormat="1" applyFont="1" applyFill="1" applyBorder="1" applyAlignment="1">
      <alignment horizontal="center" vertical="center" wrapText="1"/>
    </xf>
    <xf numFmtId="170" fontId="8" fillId="0" borderId="14" xfId="24" applyNumberFormat="1" applyFont="1" applyFill="1" applyBorder="1" applyAlignment="1">
      <alignment horizontal="center" vertical="center" wrapText="1"/>
    </xf>
    <xf numFmtId="170" fontId="8" fillId="0" borderId="14" xfId="24" applyNumberFormat="1" applyFont="1" applyFill="1" applyBorder="1" applyAlignment="1">
      <alignment horizontal="left" vertical="center" wrapText="1"/>
    </xf>
    <xf numFmtId="170" fontId="8" fillId="0" borderId="14" xfId="25" applyNumberFormat="1" applyFont="1" applyFill="1" applyBorder="1" applyAlignment="1">
      <alignment vertical="center" wrapText="1"/>
    </xf>
    <xf numFmtId="170" fontId="8" fillId="0" borderId="14" xfId="29" applyNumberFormat="1" applyFont="1" applyFill="1" applyBorder="1" applyAlignment="1">
      <alignment horizontal="center" vertical="center" wrapText="1"/>
    </xf>
    <xf numFmtId="170" fontId="8" fillId="0" borderId="14" xfId="25" applyNumberFormat="1" applyFont="1" applyFill="1" applyBorder="1" applyAlignment="1">
      <alignment horizontal="center" vertical="center" wrapText="1"/>
    </xf>
    <xf numFmtId="170" fontId="8" fillId="0" borderId="14" xfId="25" applyNumberFormat="1" applyFont="1" applyFill="1" applyBorder="1" applyAlignment="1">
      <alignment horizontal="right" vertical="center" wrapText="1"/>
    </xf>
    <xf numFmtId="170" fontId="6" fillId="0" borderId="14" xfId="0" applyNumberFormat="1" applyFont="1" applyBorder="1" applyAlignment="1">
      <alignment horizontal="right" vertical="center"/>
    </xf>
    <xf numFmtId="170" fontId="6" fillId="0" borderId="14" xfId="0" applyNumberFormat="1" applyFont="1" applyBorder="1" applyAlignment="1">
      <alignment vertical="center" wrapText="1"/>
    </xf>
    <xf numFmtId="172" fontId="6" fillId="0" borderId="14" xfId="0" applyNumberFormat="1" applyFont="1" applyBorder="1" applyAlignment="1">
      <alignment horizontal="center" vertical="center" wrapText="1"/>
    </xf>
    <xf numFmtId="170" fontId="8" fillId="0" borderId="14" xfId="0" applyNumberFormat="1" applyFont="1" applyFill="1" applyBorder="1" applyAlignment="1">
      <alignment horizontal="center" vertical="center" wrapText="1"/>
    </xf>
    <xf numFmtId="170" fontId="6" fillId="0" borderId="15" xfId="0" applyNumberFormat="1" applyFont="1" applyFill="1" applyBorder="1" applyAlignment="1">
      <alignment horizontal="center" vertical="center" wrapText="1"/>
    </xf>
    <xf numFmtId="170" fontId="8" fillId="0" borderId="15" xfId="24" applyNumberFormat="1" applyFont="1" applyFill="1" applyBorder="1" applyAlignment="1">
      <alignment horizontal="center" vertical="center" wrapText="1"/>
    </xf>
    <xf numFmtId="170" fontId="8" fillId="0" borderId="15" xfId="24" applyNumberFormat="1" applyFont="1" applyFill="1" applyBorder="1" applyAlignment="1">
      <alignment horizontal="left" vertical="center" wrapText="1"/>
    </xf>
    <xf numFmtId="170" fontId="8" fillId="0" borderId="15" xfId="25" applyNumberFormat="1" applyFont="1" applyFill="1" applyBorder="1" applyAlignment="1">
      <alignment vertical="center" wrapText="1"/>
    </xf>
    <xf numFmtId="170" fontId="8" fillId="0" borderId="15" xfId="25" applyNumberFormat="1" applyFont="1" applyFill="1" applyBorder="1" applyAlignment="1">
      <alignment horizontal="center" vertical="center" wrapText="1"/>
    </xf>
    <xf numFmtId="170" fontId="8" fillId="0" borderId="15" xfId="25" applyNumberFormat="1" applyFont="1" applyFill="1" applyBorder="1" applyAlignment="1">
      <alignment horizontal="right" vertical="center" wrapText="1"/>
    </xf>
    <xf numFmtId="170" fontId="6" fillId="0" borderId="15" xfId="0" applyNumberFormat="1" applyFont="1" applyBorder="1" applyAlignment="1">
      <alignment horizontal="right" vertical="center"/>
    </xf>
    <xf numFmtId="170" fontId="8" fillId="0" borderId="15" xfId="29" applyNumberFormat="1" applyFont="1" applyFill="1" applyBorder="1" applyAlignment="1">
      <alignment vertical="center" wrapText="1"/>
    </xf>
    <xf numFmtId="172" fontId="6" fillId="0" borderId="15" xfId="0" applyNumberFormat="1" applyFont="1" applyBorder="1" applyAlignment="1">
      <alignment horizontal="center" vertical="center" wrapText="1"/>
    </xf>
    <xf numFmtId="170" fontId="8" fillId="0" borderId="15" xfId="0" applyNumberFormat="1" applyFont="1" applyFill="1" applyBorder="1" applyAlignment="1">
      <alignment horizontal="center" vertical="center" wrapText="1"/>
    </xf>
    <xf numFmtId="170" fontId="6" fillId="0" borderId="2" xfId="0" applyNumberFormat="1" applyFont="1" applyBorder="1" applyAlignment="1">
      <alignment horizontal="right" vertical="center"/>
    </xf>
    <xf numFmtId="170" fontId="6" fillId="0" borderId="2" xfId="0" applyNumberFormat="1" applyFont="1" applyBorder="1" applyAlignment="1">
      <alignment vertical="center"/>
    </xf>
    <xf numFmtId="172" fontId="6" fillId="0" borderId="2" xfId="0" applyNumberFormat="1" applyFont="1" applyBorder="1" applyAlignment="1">
      <alignment horizontal="center" vertical="center"/>
    </xf>
    <xf numFmtId="0" fontId="8" fillId="0" borderId="0" xfId="0" applyFont="1" applyBorder="1" applyAlignment="1">
      <alignment horizontal="left" vertical="center" wrapText="1" shrinkToFit="1"/>
    </xf>
    <xf numFmtId="0" fontId="9" fillId="0" borderId="22" xfId="0" applyFont="1" applyBorder="1" applyAlignment="1">
      <alignment vertical="center" wrapText="1"/>
    </xf>
    <xf numFmtId="3" fontId="9" fillId="0" borderId="22" xfId="0" applyNumberFormat="1" applyFont="1" applyBorder="1" applyAlignment="1">
      <alignment vertical="center" wrapText="1"/>
    </xf>
    <xf numFmtId="164" fontId="6" fillId="0" borderId="0" xfId="1" applyNumberFormat="1" applyFont="1" applyAlignment="1">
      <alignment vertical="center" wrapText="1"/>
    </xf>
    <xf numFmtId="0" fontId="9" fillId="0" borderId="14" xfId="0" applyFont="1" applyBorder="1" applyAlignment="1">
      <alignment vertical="center" wrapText="1"/>
    </xf>
    <xf numFmtId="3" fontId="9" fillId="0" borderId="14" xfId="0" applyNumberFormat="1" applyFont="1" applyBorder="1" applyAlignment="1">
      <alignment vertical="center" wrapText="1"/>
    </xf>
    <xf numFmtId="3" fontId="9" fillId="0" borderId="14" xfId="0" applyNumberFormat="1" applyFont="1" applyFill="1" applyBorder="1" applyAlignment="1">
      <alignment vertical="center" wrapText="1"/>
    </xf>
    <xf numFmtId="0" fontId="9" fillId="0" borderId="14" xfId="0" applyFont="1" applyFill="1" applyBorder="1" applyAlignment="1">
      <alignment vertical="center" wrapText="1"/>
    </xf>
    <xf numFmtId="0" fontId="9" fillId="0" borderId="15" xfId="0" applyFont="1" applyBorder="1" applyAlignment="1">
      <alignment vertical="center" wrapText="1"/>
    </xf>
    <xf numFmtId="3" fontId="9" fillId="0" borderId="15" xfId="0" applyNumberFormat="1" applyFont="1" applyBorder="1" applyAlignment="1">
      <alignment vertical="center" wrapText="1"/>
    </xf>
    <xf numFmtId="0" fontId="9" fillId="0" borderId="2" xfId="0" applyFont="1" applyBorder="1" applyAlignment="1">
      <alignment vertical="center" wrapText="1"/>
    </xf>
    <xf numFmtId="3" fontId="9" fillId="0" borderId="2" xfId="0" applyNumberFormat="1" applyFont="1" applyBorder="1" applyAlignment="1">
      <alignment vertical="center" wrapText="1"/>
    </xf>
    <xf numFmtId="3" fontId="8" fillId="0" borderId="22" xfId="0" applyNumberFormat="1" applyFont="1" applyBorder="1" applyAlignment="1">
      <alignment vertical="center" wrapText="1"/>
    </xf>
    <xf numFmtId="3" fontId="8" fillId="0" borderId="14" xfId="0" applyNumberFormat="1" applyFont="1" applyBorder="1" applyAlignment="1">
      <alignment vertical="center" wrapText="1"/>
    </xf>
    <xf numFmtId="0" fontId="8" fillId="2" borderId="14" xfId="30" applyFont="1" applyFill="1" applyBorder="1" applyAlignment="1">
      <alignment vertical="center" wrapText="1"/>
    </xf>
    <xf numFmtId="3" fontId="8" fillId="0" borderId="23" xfId="0" applyNumberFormat="1" applyFont="1" applyBorder="1" applyAlignment="1">
      <alignment vertical="center" wrapText="1"/>
    </xf>
    <xf numFmtId="3" fontId="8" fillId="0" borderId="2" xfId="0" applyNumberFormat="1" applyFont="1" applyBorder="1" applyAlignment="1">
      <alignment horizontal="right" vertical="center" wrapText="1"/>
    </xf>
    <xf numFmtId="0" fontId="8" fillId="0" borderId="26" xfId="0" applyFont="1" applyBorder="1" applyAlignment="1">
      <alignment vertical="center" wrapText="1"/>
    </xf>
    <xf numFmtId="0" fontId="8" fillId="0" borderId="22" xfId="20" applyFont="1" applyFill="1" applyBorder="1" applyAlignment="1">
      <alignment vertical="center" wrapText="1"/>
    </xf>
    <xf numFmtId="3" fontId="8" fillId="0" borderId="22" xfId="1" applyNumberFormat="1" applyFont="1" applyFill="1" applyBorder="1" applyAlignment="1">
      <alignment vertical="center" wrapText="1"/>
    </xf>
    <xf numFmtId="0" fontId="6" fillId="2" borderId="22" xfId="0" applyFont="1" applyFill="1" applyBorder="1" applyAlignment="1">
      <alignment vertical="center" wrapText="1"/>
    </xf>
    <xf numFmtId="0" fontId="8" fillId="0" borderId="14" xfId="20" applyFont="1" applyFill="1" applyBorder="1" applyAlignment="1">
      <alignment vertical="center" wrapText="1"/>
    </xf>
    <xf numFmtId="3" fontId="8" fillId="0" borderId="14" xfId="1" applyNumberFormat="1" applyFont="1" applyFill="1" applyBorder="1" applyAlignment="1">
      <alignment vertical="center" wrapText="1"/>
    </xf>
    <xf numFmtId="0" fontId="6" fillId="2" borderId="14" xfId="0" applyFont="1" applyFill="1" applyBorder="1" applyAlignment="1">
      <alignment vertical="center" wrapText="1"/>
    </xf>
    <xf numFmtId="0" fontId="8" fillId="3" borderId="14" xfId="0" applyFont="1" applyFill="1" applyBorder="1" applyAlignment="1">
      <alignment vertical="center" wrapText="1"/>
    </xf>
    <xf numFmtId="164" fontId="8" fillId="0" borderId="14" xfId="1" applyNumberFormat="1" applyFont="1" applyBorder="1" applyAlignment="1">
      <alignment vertical="center" wrapText="1"/>
    </xf>
    <xf numFmtId="164" fontId="8" fillId="0" borderId="23" xfId="20" applyNumberFormat="1" applyFont="1" applyFill="1" applyBorder="1" applyAlignment="1">
      <alignment vertical="center" wrapText="1"/>
    </xf>
    <xf numFmtId="164" fontId="6" fillId="0" borderId="23" xfId="1" applyNumberFormat="1" applyFont="1" applyBorder="1" applyAlignment="1">
      <alignment vertical="center" wrapText="1"/>
    </xf>
    <xf numFmtId="166" fontId="8" fillId="2" borderId="22" xfId="1" applyNumberFormat="1" applyFont="1" applyFill="1" applyBorder="1" applyAlignment="1">
      <alignment vertical="center" wrapText="1"/>
    </xf>
    <xf numFmtId="166" fontId="8" fillId="0" borderId="22" xfId="1" applyNumberFormat="1" applyFont="1" applyFill="1" applyBorder="1" applyAlignment="1">
      <alignment vertical="center" wrapText="1"/>
    </xf>
    <xf numFmtId="0" fontId="8" fillId="0" borderId="22" xfId="0" quotePrefix="1" applyFont="1" applyFill="1" applyBorder="1" applyAlignment="1">
      <alignment vertical="center" wrapText="1"/>
    </xf>
    <xf numFmtId="166" fontId="8" fillId="2" borderId="14" xfId="1" applyNumberFormat="1" applyFont="1" applyFill="1" applyBorder="1" applyAlignment="1">
      <alignment vertical="center" wrapText="1"/>
    </xf>
    <xf numFmtId="166" fontId="8" fillId="0" borderId="14" xfId="1" applyNumberFormat="1" applyFont="1" applyFill="1" applyBorder="1" applyAlignment="1">
      <alignment vertical="center" wrapText="1"/>
    </xf>
    <xf numFmtId="0" fontId="8" fillId="0" borderId="14" xfId="0" quotePrefix="1" applyFont="1" applyFill="1" applyBorder="1" applyAlignment="1">
      <alignment vertical="center" wrapText="1"/>
    </xf>
    <xf numFmtId="166" fontId="8" fillId="0" borderId="14" xfId="1" quotePrefix="1" applyNumberFormat="1" applyFont="1" applyFill="1" applyBorder="1" applyAlignment="1">
      <alignment vertical="center" wrapText="1"/>
    </xf>
    <xf numFmtId="166" fontId="8" fillId="2" borderId="15" xfId="1" applyNumberFormat="1" applyFont="1" applyFill="1" applyBorder="1" applyAlignment="1">
      <alignment vertical="center" wrapText="1"/>
    </xf>
    <xf numFmtId="166" fontId="8" fillId="0" borderId="15" xfId="1" applyNumberFormat="1" applyFont="1" applyFill="1" applyBorder="1" applyAlignment="1">
      <alignment vertical="center" wrapText="1"/>
    </xf>
    <xf numFmtId="0" fontId="8" fillId="0" borderId="15" xfId="0" applyFont="1" applyFill="1" applyBorder="1" applyAlignment="1">
      <alignment vertical="center" wrapText="1"/>
    </xf>
    <xf numFmtId="0" fontId="8" fillId="0" borderId="0" xfId="0" applyFont="1" applyFill="1" applyAlignment="1">
      <alignment horizontal="left" vertical="center" wrapText="1"/>
    </xf>
    <xf numFmtId="0" fontId="6" fillId="6" borderId="22" xfId="0" applyFont="1" applyFill="1" applyBorder="1" applyAlignment="1">
      <alignment vertical="center" wrapText="1"/>
    </xf>
    <xf numFmtId="171" fontId="6" fillId="0" borderId="22" xfId="1" applyNumberFormat="1" applyFont="1" applyBorder="1" applyAlignment="1">
      <alignment vertical="center" wrapText="1"/>
    </xf>
    <xf numFmtId="171" fontId="6" fillId="0" borderId="22" xfId="0" applyNumberFormat="1" applyFont="1" applyBorder="1" applyAlignment="1">
      <alignment vertical="center" wrapText="1"/>
    </xf>
    <xf numFmtId="0" fontId="6" fillId="6" borderId="14" xfId="0" applyFont="1" applyFill="1" applyBorder="1" applyAlignment="1">
      <alignment vertical="center" wrapText="1"/>
    </xf>
    <xf numFmtId="171" fontId="6" fillId="0" borderId="14" xfId="1" applyNumberFormat="1" applyFont="1" applyBorder="1" applyAlignment="1">
      <alignment vertical="center" wrapText="1"/>
    </xf>
    <xf numFmtId="171" fontId="6" fillId="0" borderId="14" xfId="0" applyNumberFormat="1" applyFont="1" applyBorder="1" applyAlignment="1">
      <alignment vertical="center" wrapText="1"/>
    </xf>
    <xf numFmtId="0" fontId="6" fillId="6" borderId="15" xfId="0" applyFont="1" applyFill="1" applyBorder="1" applyAlignment="1">
      <alignment vertical="center" wrapText="1"/>
    </xf>
    <xf numFmtId="171" fontId="6" fillId="0" borderId="15" xfId="1" applyNumberFormat="1" applyFont="1" applyBorder="1" applyAlignment="1">
      <alignment vertical="center" wrapText="1"/>
    </xf>
    <xf numFmtId="171" fontId="6" fillId="0" borderId="15" xfId="0" applyNumberFormat="1" applyFont="1" applyBorder="1" applyAlignment="1">
      <alignment vertical="center" wrapText="1"/>
    </xf>
    <xf numFmtId="171" fontId="6" fillId="0" borderId="23" xfId="0" applyNumberFormat="1" applyFont="1" applyBorder="1" applyAlignment="1">
      <alignment vertical="center" wrapText="1"/>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vertical="center"/>
    </xf>
    <xf numFmtId="164" fontId="6" fillId="0" borderId="0" xfId="0" applyNumberFormat="1" applyFont="1" applyBorder="1" applyAlignment="1">
      <alignment horizontal="center" vertical="center"/>
    </xf>
    <xf numFmtId="0" fontId="14" fillId="0" borderId="0" xfId="0" applyFont="1" applyBorder="1" applyAlignment="1">
      <alignment horizontal="left" vertical="center"/>
    </xf>
    <xf numFmtId="166" fontId="6" fillId="0" borderId="22" xfId="1" applyNumberFormat="1" applyFont="1" applyBorder="1" applyAlignment="1">
      <alignment vertical="center" wrapText="1"/>
    </xf>
    <xf numFmtId="166" fontId="6" fillId="0" borderId="22" xfId="0" applyNumberFormat="1" applyFont="1" applyBorder="1" applyAlignment="1">
      <alignment vertical="center" wrapText="1"/>
    </xf>
    <xf numFmtId="166" fontId="6" fillId="0" borderId="14" xfId="1" applyNumberFormat="1" applyFont="1" applyBorder="1" applyAlignment="1">
      <alignment vertical="center" wrapText="1"/>
    </xf>
    <xf numFmtId="166" fontId="6" fillId="0" borderId="14" xfId="0" applyNumberFormat="1" applyFont="1" applyBorder="1" applyAlignment="1">
      <alignment vertical="center" wrapText="1"/>
    </xf>
    <xf numFmtId="164" fontId="8" fillId="4" borderId="14" xfId="1" applyNumberFormat="1" applyFont="1" applyFill="1" applyBorder="1" applyAlignment="1">
      <alignment vertical="center" wrapText="1"/>
    </xf>
    <xf numFmtId="166" fontId="6" fillId="4" borderId="14" xfId="0" applyNumberFormat="1" applyFont="1" applyFill="1" applyBorder="1" applyAlignment="1">
      <alignment vertical="center" wrapText="1"/>
    </xf>
    <xf numFmtId="0" fontId="9" fillId="4" borderId="14" xfId="0" applyFont="1" applyFill="1" applyBorder="1" applyAlignment="1">
      <alignment vertical="center" wrapText="1"/>
    </xf>
    <xf numFmtId="0" fontId="9" fillId="3" borderId="14" xfId="0" applyNumberFormat="1" applyFont="1" applyFill="1" applyBorder="1" applyAlignment="1">
      <alignment vertical="center" wrapText="1"/>
    </xf>
    <xf numFmtId="166" fontId="6" fillId="0" borderId="15" xfId="1" applyNumberFormat="1" applyFont="1" applyBorder="1" applyAlignment="1">
      <alignment vertical="center" wrapText="1"/>
    </xf>
    <xf numFmtId="166" fontId="6" fillId="0" borderId="15" xfId="0" applyNumberFormat="1" applyFont="1" applyBorder="1" applyAlignment="1">
      <alignment vertical="center" wrapText="1"/>
    </xf>
    <xf numFmtId="0" fontId="9" fillId="3" borderId="15" xfId="0" applyFont="1" applyFill="1" applyBorder="1" applyAlignment="1">
      <alignment vertical="center" wrapText="1"/>
    </xf>
    <xf numFmtId="166" fontId="6" fillId="0" borderId="2" xfId="0" applyNumberFormat="1" applyFont="1" applyBorder="1" applyAlignment="1">
      <alignment vertical="center" wrapText="1"/>
    </xf>
    <xf numFmtId="49" fontId="6" fillId="0" borderId="15" xfId="0" applyNumberFormat="1" applyFont="1" applyBorder="1" applyAlignment="1">
      <alignment vertical="center" wrapText="1"/>
    </xf>
    <xf numFmtId="0" fontId="8" fillId="0" borderId="15" xfId="0" applyFont="1" applyBorder="1" applyAlignment="1">
      <alignment vertical="center" wrapText="1"/>
    </xf>
    <xf numFmtId="49" fontId="6" fillId="0" borderId="15" xfId="7" applyNumberFormat="1" applyFont="1" applyFill="1" applyBorder="1" applyAlignment="1">
      <alignment vertical="center" wrapText="1"/>
    </xf>
    <xf numFmtId="0" fontId="8" fillId="2" borderId="15" xfId="0" applyNumberFormat="1" applyFont="1" applyFill="1" applyBorder="1" applyAlignment="1">
      <alignment vertical="center" wrapText="1"/>
    </xf>
    <xf numFmtId="3" fontId="8" fillId="0" borderId="15" xfId="0" applyNumberFormat="1" applyFont="1" applyBorder="1" applyAlignment="1">
      <alignment vertical="center" wrapText="1"/>
    </xf>
    <xf numFmtId="3" fontId="8" fillId="2" borderId="15" xfId="0" applyNumberFormat="1" applyFont="1" applyFill="1" applyBorder="1" applyAlignment="1">
      <alignment vertical="center" wrapText="1"/>
    </xf>
    <xf numFmtId="3" fontId="6" fillId="0" borderId="15" xfId="7" applyNumberFormat="1" applyFont="1" applyFill="1" applyBorder="1" applyAlignment="1">
      <alignment vertical="center" wrapText="1"/>
    </xf>
    <xf numFmtId="49" fontId="6" fillId="0" borderId="2" xfId="0" applyNumberFormat="1" applyFont="1" applyBorder="1" applyAlignment="1">
      <alignment vertical="center" wrapText="1"/>
    </xf>
    <xf numFmtId="49" fontId="9" fillId="0" borderId="2" xfId="0" applyNumberFormat="1" applyFont="1" applyBorder="1" applyAlignment="1">
      <alignment vertical="center" wrapText="1"/>
    </xf>
    <xf numFmtId="0" fontId="8" fillId="2" borderId="2" xfId="0" applyNumberFormat="1" applyFont="1" applyFill="1" applyBorder="1" applyAlignment="1">
      <alignment vertical="center" wrapText="1"/>
    </xf>
    <xf numFmtId="49" fontId="8" fillId="0" borderId="2" xfId="0" applyNumberFormat="1" applyFont="1" applyBorder="1" applyAlignment="1">
      <alignment vertical="center" wrapText="1"/>
    </xf>
    <xf numFmtId="49" fontId="6" fillId="0" borderId="0" xfId="0" applyNumberFormat="1" applyFont="1" applyBorder="1" applyAlignment="1">
      <alignment vertical="center" wrapText="1"/>
    </xf>
    <xf numFmtId="49" fontId="19" fillId="0" borderId="0" xfId="0" applyNumberFormat="1" applyFont="1" applyBorder="1" applyAlignment="1">
      <alignment vertical="center" wrapText="1"/>
    </xf>
    <xf numFmtId="0" fontId="8" fillId="2" borderId="0" xfId="0" applyNumberFormat="1" applyFont="1" applyFill="1" applyBorder="1" applyAlignment="1">
      <alignment vertical="center" wrapText="1"/>
    </xf>
    <xf numFmtId="3" fontId="6" fillId="6" borderId="22" xfId="0" applyNumberFormat="1" applyFont="1" applyFill="1" applyBorder="1" applyAlignment="1">
      <alignment vertical="center" wrapText="1"/>
    </xf>
    <xf numFmtId="3" fontId="9" fillId="0" borderId="22" xfId="1" applyNumberFormat="1" applyFont="1" applyBorder="1" applyAlignment="1">
      <alignment vertical="center" wrapText="1"/>
    </xf>
    <xf numFmtId="3" fontId="8" fillId="0" borderId="22" xfId="0" applyNumberFormat="1" applyFont="1" applyFill="1" applyBorder="1" applyAlignment="1">
      <alignment vertical="center" wrapText="1"/>
    </xf>
    <xf numFmtId="3" fontId="6" fillId="6" borderId="14" xfId="0" applyNumberFormat="1" applyFont="1" applyFill="1" applyBorder="1" applyAlignment="1">
      <alignment vertical="center" wrapText="1"/>
    </xf>
    <xf numFmtId="3" fontId="9" fillId="0" borderId="14" xfId="1" applyNumberFormat="1" applyFont="1" applyBorder="1" applyAlignment="1">
      <alignment vertical="center" wrapText="1"/>
    </xf>
    <xf numFmtId="3" fontId="6" fillId="6" borderId="15" xfId="0" applyNumberFormat="1" applyFont="1" applyFill="1" applyBorder="1" applyAlignment="1">
      <alignment vertical="center" wrapText="1"/>
    </xf>
    <xf numFmtId="3" fontId="9" fillId="0" borderId="15" xfId="1" applyNumberFormat="1" applyFont="1" applyBorder="1" applyAlignment="1">
      <alignment vertical="center" wrapText="1"/>
    </xf>
    <xf numFmtId="3" fontId="8" fillId="0" borderId="15" xfId="0" applyNumberFormat="1" applyFont="1" applyFill="1" applyBorder="1" applyAlignment="1">
      <alignment vertical="center" wrapText="1"/>
    </xf>
    <xf numFmtId="3" fontId="35" fillId="0" borderId="2" xfId="0" applyNumberFormat="1" applyFont="1" applyFill="1" applyBorder="1" applyAlignment="1">
      <alignment vertical="center" wrapText="1"/>
    </xf>
    <xf numFmtId="164" fontId="7" fillId="0" borderId="2" xfId="1" applyNumberFormat="1" applyFont="1" applyBorder="1" applyAlignment="1">
      <alignment vertical="center" wrapText="1"/>
    </xf>
    <xf numFmtId="0" fontId="7" fillId="0" borderId="2" xfId="0" applyFont="1" applyBorder="1" applyAlignment="1">
      <alignment vertical="center" wrapText="1"/>
    </xf>
    <xf numFmtId="0" fontId="7" fillId="0" borderId="0" xfId="0" applyFont="1" applyBorder="1" applyAlignment="1">
      <alignment vertical="center" wrapText="1"/>
    </xf>
    <xf numFmtId="3" fontId="35" fillId="0" borderId="0" xfId="0" applyNumberFormat="1" applyFont="1" applyFill="1" applyBorder="1" applyAlignment="1">
      <alignment vertical="center" wrapText="1"/>
    </xf>
    <xf numFmtId="164" fontId="7" fillId="0" borderId="0" xfId="1" applyNumberFormat="1" applyFont="1" applyBorder="1" applyAlignment="1">
      <alignment vertical="center" wrapText="1"/>
    </xf>
    <xf numFmtId="3" fontId="8" fillId="0" borderId="23" xfId="0" applyNumberFormat="1" applyFont="1" applyFill="1" applyBorder="1" applyAlignment="1">
      <alignment vertical="center" wrapText="1"/>
    </xf>
    <xf numFmtId="3" fontId="8" fillId="0" borderId="0" xfId="0" applyNumberFormat="1" applyFont="1" applyFill="1" applyBorder="1" applyAlignment="1">
      <alignment vertical="center" wrapText="1"/>
    </xf>
    <xf numFmtId="3" fontId="6" fillId="0" borderId="23" xfId="0" applyNumberFormat="1" applyFont="1" applyBorder="1" applyAlignment="1">
      <alignment vertical="center" wrapText="1"/>
    </xf>
    <xf numFmtId="3" fontId="6" fillId="6" borderId="23" xfId="0" applyNumberFormat="1" applyFont="1" applyFill="1" applyBorder="1" applyAlignment="1">
      <alignment vertical="center" wrapText="1"/>
    </xf>
    <xf numFmtId="3" fontId="9" fillId="0" borderId="23" xfId="1" applyNumberFormat="1" applyFont="1" applyBorder="1" applyAlignment="1">
      <alignment vertical="center" wrapText="1"/>
    </xf>
    <xf numFmtId="3" fontId="8" fillId="0" borderId="2" xfId="0" applyNumberFormat="1" applyFont="1" applyFill="1" applyBorder="1" applyAlignment="1">
      <alignment horizontal="center" vertical="center"/>
    </xf>
    <xf numFmtId="3" fontId="8" fillId="0" borderId="2" xfId="0" applyNumberFormat="1" applyFont="1" applyFill="1" applyBorder="1" applyAlignment="1">
      <alignment vertical="center"/>
    </xf>
    <xf numFmtId="3" fontId="8" fillId="0" borderId="0" xfId="0" applyNumberFormat="1" applyFont="1" applyFill="1" applyBorder="1" applyAlignment="1">
      <alignment horizontal="center" vertical="center"/>
    </xf>
    <xf numFmtId="3" fontId="8" fillId="0" borderId="0" xfId="0" applyNumberFormat="1" applyFont="1" applyFill="1" applyBorder="1" applyAlignment="1">
      <alignment vertical="center"/>
    </xf>
    <xf numFmtId="0" fontId="20" fillId="0" borderId="22" xfId="0" applyFont="1" applyBorder="1" applyAlignment="1">
      <alignment vertical="center" wrapText="1"/>
    </xf>
    <xf numFmtId="164" fontId="8" fillId="0" borderId="22" xfId="0" applyNumberFormat="1" applyFont="1" applyBorder="1" applyAlignment="1">
      <alignment vertical="center" wrapText="1"/>
    </xf>
    <xf numFmtId="0" fontId="20" fillId="0" borderId="14" xfId="0" applyFont="1" applyBorder="1" applyAlignment="1">
      <alignment vertical="center" wrapText="1"/>
    </xf>
    <xf numFmtId="164" fontId="8" fillId="0" borderId="14" xfId="0" applyNumberFormat="1" applyFont="1" applyBorder="1" applyAlignment="1">
      <alignment vertical="center" wrapText="1"/>
    </xf>
    <xf numFmtId="0" fontId="20" fillId="0" borderId="15" xfId="0" applyFont="1" applyBorder="1" applyAlignment="1">
      <alignment vertical="center" wrapText="1"/>
    </xf>
    <xf numFmtId="164" fontId="8" fillId="0" borderId="15" xfId="0" applyNumberFormat="1" applyFont="1" applyBorder="1" applyAlignment="1">
      <alignment vertical="center" wrapText="1"/>
    </xf>
    <xf numFmtId="164" fontId="20" fillId="0" borderId="22" xfId="1" applyNumberFormat="1" applyFont="1" applyBorder="1" applyAlignment="1">
      <alignment vertical="center" wrapText="1"/>
    </xf>
    <xf numFmtId="164" fontId="20" fillId="0" borderId="14" xfId="1" applyNumberFormat="1" applyFont="1" applyBorder="1" applyAlignment="1">
      <alignment vertical="center" wrapText="1"/>
    </xf>
    <xf numFmtId="164" fontId="20" fillId="0" borderId="15" xfId="1" applyNumberFormat="1" applyFont="1" applyBorder="1" applyAlignment="1">
      <alignment vertical="center" wrapText="1"/>
    </xf>
    <xf numFmtId="164" fontId="9" fillId="0" borderId="2" xfId="1" applyNumberFormat="1" applyFont="1" applyFill="1" applyBorder="1" applyAlignment="1">
      <alignment vertical="center" wrapText="1"/>
    </xf>
    <xf numFmtId="0" fontId="6" fillId="0" borderId="0" xfId="0" applyFont="1" applyBorder="1" applyAlignment="1">
      <alignment horizontal="center" vertical="center" wrapText="1"/>
    </xf>
    <xf numFmtId="164" fontId="9" fillId="0" borderId="0" xfId="1" applyNumberFormat="1" applyFont="1" applyFill="1" applyBorder="1" applyAlignment="1">
      <alignment vertical="center" wrapText="1"/>
    </xf>
    <xf numFmtId="164" fontId="6" fillId="0" borderId="0" xfId="0" applyNumberFormat="1" applyFont="1" applyBorder="1" applyAlignment="1">
      <alignment vertical="center" wrapText="1"/>
    </xf>
    <xf numFmtId="0" fontId="9" fillId="3" borderId="22" xfId="30" applyNumberFormat="1" applyFont="1" applyFill="1" applyBorder="1" applyAlignment="1">
      <alignment vertical="center" wrapText="1"/>
    </xf>
    <xf numFmtId="0" fontId="9" fillId="0" borderId="22" xfId="30" applyFont="1" applyFill="1" applyBorder="1" applyAlignment="1">
      <alignment vertical="center" wrapText="1"/>
    </xf>
    <xf numFmtId="0" fontId="9" fillId="3" borderId="14" xfId="1" applyNumberFormat="1" applyFont="1" applyFill="1" applyBorder="1" applyAlignment="1">
      <alignment vertical="center" wrapText="1"/>
    </xf>
    <xf numFmtId="0" fontId="9" fillId="3" borderId="23" xfId="1" applyNumberFormat="1" applyFont="1" applyFill="1" applyBorder="1" applyAlignment="1">
      <alignment vertical="center" wrapText="1"/>
    </xf>
    <xf numFmtId="0" fontId="8" fillId="0" borderId="0" xfId="0" applyFont="1" applyBorder="1" applyAlignment="1">
      <alignment horizontal="left" vertical="center"/>
    </xf>
    <xf numFmtId="3" fontId="6" fillId="0" borderId="22" xfId="0" applyNumberFormat="1" applyFont="1" applyBorder="1" applyAlignment="1">
      <alignment horizontal="center" vertical="center" wrapText="1"/>
    </xf>
    <xf numFmtId="166" fontId="6" fillId="0" borderId="22" xfId="1" applyNumberFormat="1" applyFont="1" applyBorder="1" applyAlignment="1">
      <alignment horizontal="center" vertical="center" wrapText="1"/>
    </xf>
    <xf numFmtId="166" fontId="6" fillId="0" borderId="22" xfId="0" applyNumberFormat="1" applyFont="1" applyBorder="1" applyAlignment="1">
      <alignment horizontal="right" vertical="center" wrapText="1"/>
    </xf>
    <xf numFmtId="164" fontId="9" fillId="3" borderId="22" xfId="1" applyNumberFormat="1" applyFont="1" applyFill="1" applyBorder="1" applyAlignment="1">
      <alignment horizontal="center" vertical="center"/>
    </xf>
    <xf numFmtId="164" fontId="9" fillId="0" borderId="22" xfId="1" applyNumberFormat="1" applyFont="1" applyFill="1" applyBorder="1" applyAlignment="1">
      <alignment horizontal="center" vertical="center"/>
    </xf>
    <xf numFmtId="3" fontId="6" fillId="0" borderId="15" xfId="0" applyNumberFormat="1" applyFont="1" applyBorder="1" applyAlignment="1">
      <alignment horizontal="center" vertical="center" wrapText="1"/>
    </xf>
    <xf numFmtId="166" fontId="6" fillId="0" borderId="15" xfId="1" applyNumberFormat="1" applyFont="1" applyBorder="1" applyAlignment="1">
      <alignment horizontal="center" vertical="center" wrapText="1"/>
    </xf>
    <xf numFmtId="166" fontId="6" fillId="0" borderId="15" xfId="0" applyNumberFormat="1" applyFont="1" applyBorder="1" applyAlignment="1">
      <alignment horizontal="right" vertical="center" wrapText="1"/>
    </xf>
    <xf numFmtId="164" fontId="9" fillId="0" borderId="15" xfId="1" applyNumberFormat="1" applyFont="1" applyFill="1" applyBorder="1" applyAlignment="1">
      <alignment horizontal="center" vertical="center"/>
    </xf>
    <xf numFmtId="166" fontId="6" fillId="0" borderId="2" xfId="0" applyNumberFormat="1" applyFont="1" applyBorder="1" applyAlignment="1">
      <alignment horizontal="right" vertical="center" wrapText="1"/>
    </xf>
    <xf numFmtId="0" fontId="6" fillId="0" borderId="0" xfId="0" applyFont="1" applyBorder="1" applyAlignment="1">
      <alignment horizontal="left" vertical="center" wrapText="1"/>
    </xf>
    <xf numFmtId="164" fontId="8" fillId="0" borderId="22" xfId="28" applyNumberFormat="1" applyFont="1" applyBorder="1" applyAlignment="1">
      <alignment vertical="center" wrapText="1"/>
    </xf>
    <xf numFmtId="0" fontId="8" fillId="2" borderId="22" xfId="5" applyFont="1" applyFill="1" applyBorder="1" applyAlignment="1">
      <alignment vertical="center" wrapText="1"/>
    </xf>
    <xf numFmtId="0" fontId="6" fillId="0" borderId="22" xfId="0" quotePrefix="1" applyFont="1" applyBorder="1" applyAlignment="1">
      <alignment vertical="center" wrapText="1"/>
    </xf>
    <xf numFmtId="164" fontId="8" fillId="0" borderId="14" xfId="28" applyNumberFormat="1" applyFont="1" applyFill="1" applyBorder="1" applyAlignment="1">
      <alignment vertical="center" wrapText="1"/>
    </xf>
    <xf numFmtId="0" fontId="8" fillId="2" borderId="14" xfId="5" applyFont="1" applyFill="1" applyBorder="1" applyAlignment="1">
      <alignment vertical="center" wrapText="1"/>
    </xf>
    <xf numFmtId="0" fontId="6" fillId="0" borderId="14" xfId="0" quotePrefix="1" applyFont="1" applyBorder="1" applyAlignment="1">
      <alignment vertical="center" wrapText="1"/>
    </xf>
    <xf numFmtId="164" fontId="8" fillId="0" borderId="15" xfId="28" applyNumberFormat="1" applyFont="1" applyFill="1" applyBorder="1" applyAlignment="1">
      <alignment vertical="center" wrapText="1"/>
    </xf>
    <xf numFmtId="3" fontId="9" fillId="0" borderId="15" xfId="0" applyNumberFormat="1" applyFont="1" applyFill="1" applyBorder="1" applyAlignment="1">
      <alignment vertical="center" wrapText="1"/>
    </xf>
    <xf numFmtId="0" fontId="8" fillId="2" borderId="15" xfId="5" applyFont="1" applyFill="1" applyBorder="1" applyAlignment="1">
      <alignment vertical="center" wrapText="1"/>
    </xf>
    <xf numFmtId="0" fontId="6" fillId="0" borderId="15" xfId="0" quotePrefix="1" applyFont="1" applyBorder="1" applyAlignment="1">
      <alignment vertical="center" wrapText="1"/>
    </xf>
    <xf numFmtId="166" fontId="6" fillId="0" borderId="2" xfId="1" applyNumberFormat="1" applyFont="1" applyBorder="1" applyAlignment="1">
      <alignment vertical="center" wrapText="1"/>
    </xf>
    <xf numFmtId="0" fontId="7" fillId="7" borderId="2" xfId="0" applyFont="1" applyFill="1" applyBorder="1"/>
    <xf numFmtId="0" fontId="7" fillId="7" borderId="2" xfId="0" applyFont="1" applyFill="1" applyBorder="1" applyAlignment="1">
      <alignment horizontal="left"/>
    </xf>
    <xf numFmtId="164" fontId="7" fillId="7" borderId="2" xfId="1" applyNumberFormat="1" applyFont="1" applyFill="1" applyBorder="1"/>
    <xf numFmtId="0" fontId="7" fillId="7" borderId="2" xfId="0" applyFont="1" applyFill="1" applyBorder="1" applyAlignment="1">
      <alignment vertical="center" wrapText="1"/>
    </xf>
    <xf numFmtId="0" fontId="7" fillId="0" borderId="0" xfId="0" applyFont="1" applyAlignment="1">
      <alignment vertical="center" wrapText="1"/>
    </xf>
    <xf numFmtId="164" fontId="7" fillId="0" borderId="0" xfId="1" applyNumberFormat="1" applyFont="1" applyAlignment="1">
      <alignment horizontal="left"/>
    </xf>
    <xf numFmtId="0" fontId="7" fillId="0" borderId="0" xfId="0" applyFont="1"/>
    <xf numFmtId="0" fontId="38" fillId="0" borderId="0" xfId="0" applyFont="1" applyFill="1"/>
    <xf numFmtId="0" fontId="39" fillId="0" borderId="0" xfId="0" applyFont="1" applyFill="1"/>
    <xf numFmtId="0" fontId="40" fillId="0" borderId="0" xfId="0" applyFont="1" applyFill="1" applyAlignment="1"/>
    <xf numFmtId="0" fontId="41" fillId="0" borderId="0" xfId="0" applyFont="1" applyFill="1"/>
    <xf numFmtId="0" fontId="42" fillId="0" borderId="0" xfId="0" applyFont="1" applyFill="1" applyAlignment="1">
      <alignment vertical="center"/>
    </xf>
    <xf numFmtId="0" fontId="40" fillId="0" borderId="0" xfId="31" applyFont="1" applyFill="1" applyAlignment="1">
      <alignment wrapText="1"/>
    </xf>
    <xf numFmtId="0" fontId="2" fillId="0" borderId="0" xfId="0" applyFont="1" applyFill="1" applyAlignment="1">
      <alignment horizontal="center"/>
    </xf>
    <xf numFmtId="0" fontId="43" fillId="0" borderId="0" xfId="0" applyFont="1" applyFill="1" applyAlignment="1">
      <alignment vertical="center" wrapText="1"/>
    </xf>
    <xf numFmtId="0" fontId="44" fillId="0" borderId="2" xfId="0" applyFont="1" applyFill="1" applyBorder="1" applyAlignment="1">
      <alignment horizontal="center" vertical="center" wrapText="1"/>
    </xf>
    <xf numFmtId="0" fontId="44" fillId="0" borderId="2" xfId="0" applyNumberFormat="1" applyFont="1" applyFill="1" applyBorder="1" applyAlignment="1">
      <alignment horizontal="center" vertical="center" wrapText="1"/>
    </xf>
    <xf numFmtId="164" fontId="44" fillId="0" borderId="2" xfId="1" applyNumberFormat="1" applyFont="1" applyFill="1" applyBorder="1" applyAlignment="1">
      <alignment horizontal="center" vertical="center" wrapText="1"/>
    </xf>
    <xf numFmtId="0" fontId="44" fillId="0" borderId="2" xfId="1" applyNumberFormat="1" applyFont="1" applyFill="1" applyBorder="1" applyAlignment="1">
      <alignment horizontal="center" vertical="center" wrapText="1"/>
    </xf>
    <xf numFmtId="0" fontId="3" fillId="0" borderId="0" xfId="0" applyFont="1" applyFill="1" applyBorder="1" applyAlignment="1">
      <alignment horizontal="center"/>
    </xf>
    <xf numFmtId="0" fontId="45" fillId="0" borderId="4" xfId="0" applyFont="1" applyFill="1" applyBorder="1" applyAlignment="1">
      <alignment horizontal="center" vertical="center"/>
    </xf>
    <xf numFmtId="0" fontId="45" fillId="0" borderId="4" xfId="0" applyFont="1" applyFill="1" applyBorder="1" applyAlignment="1">
      <alignment vertical="center" wrapText="1"/>
    </xf>
    <xf numFmtId="0" fontId="45" fillId="0" borderId="4" xfId="0" applyFont="1" applyFill="1" applyBorder="1" applyAlignment="1">
      <alignment horizontal="center" vertical="center" wrapText="1"/>
    </xf>
    <xf numFmtId="3" fontId="45" fillId="0" borderId="4" xfId="0" applyNumberFormat="1" applyFont="1" applyFill="1" applyBorder="1" applyAlignment="1">
      <alignment horizontal="right" vertical="center" wrapText="1"/>
    </xf>
    <xf numFmtId="0" fontId="3" fillId="0" borderId="4" xfId="0" applyFont="1" applyFill="1" applyBorder="1" applyAlignment="1">
      <alignment vertical="center" wrapText="1"/>
    </xf>
    <xf numFmtId="0" fontId="3" fillId="0" borderId="0" xfId="0" applyFont="1" applyFill="1"/>
    <xf numFmtId="0" fontId="45" fillId="0" borderId="6" xfId="0" applyFont="1" applyFill="1" applyBorder="1" applyAlignment="1">
      <alignment horizontal="center" vertical="center"/>
    </xf>
    <xf numFmtId="0" fontId="45" fillId="0" borderId="6" xfId="0" applyFont="1" applyFill="1" applyBorder="1" applyAlignment="1">
      <alignment vertical="center" wrapText="1"/>
    </xf>
    <xf numFmtId="0" fontId="45" fillId="0" borderId="6" xfId="0" applyFont="1" applyFill="1" applyBorder="1" applyAlignment="1">
      <alignment horizontal="center" vertical="center" wrapText="1"/>
    </xf>
    <xf numFmtId="3" fontId="45" fillId="0" borderId="6" xfId="0" applyNumberFormat="1" applyFont="1" applyFill="1" applyBorder="1" applyAlignment="1">
      <alignment horizontal="right" vertical="center" wrapText="1"/>
    </xf>
    <xf numFmtId="0" fontId="3" fillId="0" borderId="6" xfId="0" applyFont="1" applyFill="1" applyBorder="1" applyAlignment="1">
      <alignment vertical="center" wrapText="1"/>
    </xf>
    <xf numFmtId="0" fontId="45" fillId="0" borderId="7" xfId="0" applyFont="1" applyFill="1" applyBorder="1" applyAlignment="1">
      <alignment horizontal="center" vertical="center"/>
    </xf>
    <xf numFmtId="0" fontId="45" fillId="0" borderId="7" xfId="0" applyFont="1" applyFill="1" applyBorder="1" applyAlignment="1">
      <alignment vertical="center" wrapText="1"/>
    </xf>
    <xf numFmtId="0" fontId="45" fillId="0" borderId="7" xfId="0" applyFont="1" applyFill="1" applyBorder="1" applyAlignment="1">
      <alignment horizontal="center" vertical="center" wrapText="1"/>
    </xf>
    <xf numFmtId="3" fontId="45" fillId="0" borderId="7" xfId="0" applyNumberFormat="1" applyFont="1" applyFill="1" applyBorder="1" applyAlignment="1">
      <alignment horizontal="right" vertical="center" wrapText="1"/>
    </xf>
    <xf numFmtId="0" fontId="3" fillId="0" borderId="7" xfId="0" applyFont="1" applyFill="1" applyBorder="1" applyAlignment="1">
      <alignment vertical="center" wrapText="1"/>
    </xf>
    <xf numFmtId="0" fontId="44" fillId="0" borderId="2" xfId="0" applyFont="1" applyFill="1" applyBorder="1" applyAlignment="1">
      <alignment horizontal="center" vertical="center"/>
    </xf>
    <xf numFmtId="0" fontId="44" fillId="0" borderId="2" xfId="0" applyFont="1" applyFill="1" applyBorder="1" applyAlignment="1">
      <alignment vertical="center" wrapText="1"/>
    </xf>
    <xf numFmtId="3" fontId="44" fillId="0" borderId="2" xfId="0" applyNumberFormat="1" applyFont="1" applyFill="1" applyBorder="1" applyAlignment="1">
      <alignment horizontal="right" vertical="center" wrapText="1"/>
    </xf>
    <xf numFmtId="0" fontId="4" fillId="0" borderId="2" xfId="0" applyFont="1" applyFill="1" applyBorder="1" applyAlignment="1">
      <alignment vertical="center" wrapText="1"/>
    </xf>
    <xf numFmtId="0" fontId="45" fillId="0" borderId="2" xfId="0" applyFont="1" applyFill="1" applyBorder="1" applyAlignment="1">
      <alignment horizontal="center" vertical="center"/>
    </xf>
    <xf numFmtId="0" fontId="45"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xf numFmtId="0" fontId="45" fillId="0" borderId="0" xfId="0" applyFont="1" applyFill="1" applyBorder="1" applyAlignment="1">
      <alignment vertical="center" wrapText="1"/>
    </xf>
    <xf numFmtId="3" fontId="45" fillId="0" borderId="0" xfId="0" applyNumberFormat="1" applyFont="1" applyFill="1" applyBorder="1" applyAlignment="1">
      <alignment horizontal="right" vertical="center" wrapText="1"/>
    </xf>
    <xf numFmtId="0" fontId="3" fillId="0" borderId="6" xfId="0" applyFont="1" applyFill="1" applyBorder="1" applyAlignment="1">
      <alignment horizontal="center" vertical="center" wrapText="1"/>
    </xf>
    <xf numFmtId="164" fontId="3" fillId="0" borderId="6" xfId="1" applyNumberFormat="1" applyFont="1" applyFill="1" applyBorder="1" applyAlignment="1">
      <alignment horizontal="right" vertical="center" wrapText="1"/>
    </xf>
    <xf numFmtId="0" fontId="45" fillId="0" borderId="0" xfId="0" applyFont="1" applyFill="1" applyAlignment="1">
      <alignment vertical="center"/>
    </xf>
    <xf numFmtId="0" fontId="47" fillId="0" borderId="6" xfId="0" applyNumberFormat="1" applyFont="1" applyFill="1" applyBorder="1" applyAlignment="1">
      <alignment horizontal="center" vertical="center" wrapText="1"/>
    </xf>
    <xf numFmtId="164" fontId="44" fillId="0" borderId="2" xfId="1" applyNumberFormat="1" applyFont="1" applyFill="1" applyBorder="1" applyAlignment="1">
      <alignment horizontal="right" vertical="center"/>
    </xf>
    <xf numFmtId="0" fontId="44" fillId="0" borderId="2" xfId="0" applyFont="1" applyFill="1" applyBorder="1" applyAlignment="1">
      <alignment horizontal="left" vertical="center" wrapText="1"/>
    </xf>
    <xf numFmtId="0" fontId="44" fillId="0" borderId="2" xfId="0" quotePrefix="1" applyNumberFormat="1" applyFont="1" applyFill="1" applyBorder="1" applyAlignment="1">
      <alignment horizontal="center" vertical="center"/>
    </xf>
    <xf numFmtId="0" fontId="44" fillId="0" borderId="0" xfId="0" applyFont="1" applyFill="1"/>
    <xf numFmtId="0" fontId="44" fillId="0" borderId="0" xfId="0" applyFont="1" applyFill="1" applyAlignment="1">
      <alignment vertical="top"/>
    </xf>
    <xf numFmtId="0" fontId="44" fillId="0" borderId="0" xfId="0" applyFont="1" applyFill="1" applyBorder="1"/>
    <xf numFmtId="0" fontId="44" fillId="0" borderId="0" xfId="0" applyFont="1" applyFill="1" applyBorder="1" applyAlignment="1">
      <alignment vertical="top"/>
    </xf>
    <xf numFmtId="0" fontId="44" fillId="0" borderId="0" xfId="0" applyFont="1" applyFill="1" applyBorder="1" applyAlignment="1">
      <alignment horizontal="center" vertical="center"/>
    </xf>
    <xf numFmtId="0" fontId="44" fillId="0" borderId="0" xfId="0" applyFont="1" applyFill="1" applyBorder="1" applyAlignment="1">
      <alignment horizontal="center" vertical="center" wrapText="1"/>
    </xf>
    <xf numFmtId="0" fontId="44" fillId="0" borderId="0" xfId="0" quotePrefix="1" applyNumberFormat="1" applyFont="1" applyFill="1" applyBorder="1" applyAlignment="1">
      <alignment horizontal="center" vertical="center"/>
    </xf>
    <xf numFmtId="0" fontId="44" fillId="0" borderId="0" xfId="0" applyFont="1" applyFill="1" applyBorder="1" applyAlignment="1">
      <alignment vertical="center" wrapText="1"/>
    </xf>
    <xf numFmtId="0" fontId="3" fillId="0" borderId="0" xfId="0" applyFont="1" applyFill="1" applyBorder="1" applyAlignment="1">
      <alignment horizontal="center" vertical="center" wrapText="1"/>
    </xf>
    <xf numFmtId="164" fontId="3" fillId="0" borderId="0" xfId="1" applyNumberFormat="1" applyFont="1" applyFill="1" applyBorder="1" applyAlignment="1">
      <alignment horizontal="right" vertical="center" wrapText="1"/>
    </xf>
    <xf numFmtId="0" fontId="47" fillId="0" borderId="0" xfId="0" applyNumberFormat="1" applyFont="1" applyFill="1" applyBorder="1" applyAlignment="1">
      <alignment horizontal="center" vertical="center" wrapText="1"/>
    </xf>
    <xf numFmtId="0" fontId="45" fillId="0" borderId="0" xfId="0" applyFont="1" applyFill="1" applyBorder="1" applyAlignment="1">
      <alignment vertical="center"/>
    </xf>
    <xf numFmtId="164" fontId="45" fillId="0" borderId="6" xfId="1" applyNumberFormat="1" applyFont="1" applyFill="1" applyBorder="1" applyAlignment="1">
      <alignment horizontal="right" vertical="center"/>
    </xf>
    <xf numFmtId="0" fontId="45" fillId="0" borderId="6" xfId="32" applyFont="1" applyFill="1" applyBorder="1" applyAlignment="1">
      <alignment horizontal="center" vertical="center" wrapText="1"/>
    </xf>
    <xf numFmtId="0" fontId="45" fillId="0" borderId="6" xfId="0" quotePrefix="1" applyNumberFormat="1" applyFont="1" applyFill="1" applyBorder="1" applyAlignment="1">
      <alignment horizontal="center" vertical="center"/>
    </xf>
    <xf numFmtId="0" fontId="49" fillId="0" borderId="0" xfId="0" applyFont="1" applyFill="1" applyAlignment="1">
      <alignment vertical="top"/>
    </xf>
    <xf numFmtId="164" fontId="47" fillId="0" borderId="6" xfId="1" applyNumberFormat="1" applyFont="1" applyFill="1" applyBorder="1" applyAlignment="1">
      <alignment horizontal="right" vertical="center"/>
    </xf>
    <xf numFmtId="0" fontId="47" fillId="0" borderId="6" xfId="0" applyFont="1" applyFill="1" applyBorder="1" applyAlignment="1">
      <alignment horizontal="center" vertical="center" wrapText="1"/>
    </xf>
    <xf numFmtId="0" fontId="47" fillId="0" borderId="6" xfId="0" applyFont="1" applyFill="1" applyBorder="1" applyAlignment="1">
      <alignment horizontal="center" vertical="center"/>
    </xf>
    <xf numFmtId="0" fontId="47" fillId="0" borderId="6" xfId="0" quotePrefix="1" applyNumberFormat="1" applyFont="1" applyFill="1" applyBorder="1" applyAlignment="1">
      <alignment horizontal="center" vertical="center"/>
    </xf>
    <xf numFmtId="0" fontId="45" fillId="0" borderId="0" xfId="0" applyFont="1" applyFill="1"/>
    <xf numFmtId="0" fontId="45" fillId="0" borderId="0" xfId="0" applyFont="1" applyFill="1" applyAlignment="1">
      <alignment vertical="top"/>
    </xf>
    <xf numFmtId="164" fontId="45" fillId="0" borderId="7" xfId="1" applyNumberFormat="1" applyFont="1" applyFill="1" applyBorder="1" applyAlignment="1">
      <alignment horizontal="right" vertical="center"/>
    </xf>
    <xf numFmtId="0" fontId="45" fillId="0" borderId="7" xfId="0" applyFont="1" applyFill="1" applyBorder="1" applyAlignment="1">
      <alignment horizontal="left" vertical="center" wrapText="1"/>
    </xf>
    <xf numFmtId="0" fontId="45" fillId="0" borderId="7" xfId="0" quotePrefix="1" applyNumberFormat="1" applyFont="1" applyFill="1" applyBorder="1" applyAlignment="1">
      <alignment horizontal="center" vertical="center"/>
    </xf>
    <xf numFmtId="164" fontId="44" fillId="0" borderId="0" xfId="1" applyNumberFormat="1" applyFont="1" applyFill="1" applyBorder="1" applyAlignment="1">
      <alignment horizontal="right" vertical="center"/>
    </xf>
    <xf numFmtId="0" fontId="44" fillId="0" borderId="0" xfId="0" applyFont="1" applyFill="1" applyBorder="1" applyAlignment="1">
      <alignment horizontal="left" vertical="center" wrapText="1"/>
    </xf>
    <xf numFmtId="0" fontId="45" fillId="0" borderId="0" xfId="0" applyFont="1" applyFill="1" applyBorder="1"/>
    <xf numFmtId="0" fontId="45" fillId="0" borderId="0" xfId="0" applyFont="1" applyFill="1" applyBorder="1" applyAlignment="1">
      <alignment vertical="top"/>
    </xf>
    <xf numFmtId="164" fontId="45" fillId="0" borderId="0" xfId="1" applyNumberFormat="1" applyFont="1" applyFill="1" applyBorder="1" applyAlignment="1">
      <alignment horizontal="right" vertical="center"/>
    </xf>
    <xf numFmtId="0" fontId="45" fillId="0" borderId="0" xfId="0" applyFont="1" applyFill="1" applyBorder="1" applyAlignment="1">
      <alignment horizontal="left" vertical="center" wrapText="1"/>
    </xf>
    <xf numFmtId="0" fontId="45" fillId="0" borderId="0" xfId="0" quotePrefix="1" applyNumberFormat="1" applyFont="1" applyFill="1" applyBorder="1" applyAlignment="1">
      <alignment horizontal="center" vertical="center"/>
    </xf>
    <xf numFmtId="0" fontId="3" fillId="0" borderId="6" xfId="0" applyFont="1" applyFill="1" applyBorder="1" applyAlignment="1">
      <alignment horizontal="left" vertical="center" wrapText="1"/>
    </xf>
    <xf numFmtId="166" fontId="3" fillId="0" borderId="6" xfId="1" applyNumberFormat="1" applyFont="1" applyFill="1" applyBorder="1" applyAlignment="1">
      <alignment horizontal="righ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left" vertical="center" wrapText="1"/>
    </xf>
    <xf numFmtId="166" fontId="3" fillId="0" borderId="0" xfId="1" applyNumberFormat="1" applyFont="1" applyFill="1" applyBorder="1" applyAlignment="1">
      <alignment horizontal="right" vertical="center" wrapText="1"/>
    </xf>
    <xf numFmtId="0" fontId="3" fillId="0" borderId="6" xfId="0" applyFont="1" applyFill="1" applyBorder="1" applyAlignment="1">
      <alignment horizontal="center" vertical="center"/>
    </xf>
    <xf numFmtId="3" fontId="3" fillId="0" borderId="6" xfId="0" applyNumberFormat="1" applyFont="1" applyFill="1" applyBorder="1" applyAlignment="1">
      <alignment horizontal="right" vertical="center" wrapText="1"/>
    </xf>
    <xf numFmtId="0" fontId="3" fillId="0" borderId="6" xfId="0" applyFont="1" applyFill="1" applyBorder="1" applyAlignment="1">
      <alignment wrapText="1"/>
    </xf>
    <xf numFmtId="0" fontId="44"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164" fontId="44" fillId="0" borderId="10" xfId="1" applyNumberFormat="1" applyFont="1" applyFill="1" applyBorder="1" applyAlignment="1">
      <alignment horizontal="right" vertical="center"/>
    </xf>
    <xf numFmtId="0" fontId="44" fillId="0" borderId="10" xfId="0" applyFont="1" applyFill="1" applyBorder="1" applyAlignment="1">
      <alignment horizontal="left" vertical="center" wrapText="1"/>
    </xf>
    <xf numFmtId="0" fontId="44" fillId="0" borderId="10" xfId="0" quotePrefix="1" applyNumberFormat="1" applyFont="1" applyFill="1" applyBorder="1" applyAlignment="1">
      <alignment horizontal="center" vertical="center"/>
    </xf>
    <xf numFmtId="0" fontId="44" fillId="0" borderId="10" xfId="0" applyFont="1" applyFill="1" applyBorder="1" applyAlignment="1">
      <alignment vertical="center" wrapText="1"/>
    </xf>
    <xf numFmtId="0" fontId="45" fillId="0" borderId="0" xfId="0" applyFont="1" applyFill="1" applyAlignment="1">
      <alignment horizontal="center" vertical="center"/>
    </xf>
    <xf numFmtId="0" fontId="3" fillId="0" borderId="6" xfId="0" applyFont="1" applyFill="1" applyBorder="1" applyAlignment="1">
      <alignment horizontal="justify" vertical="center" wrapText="1"/>
    </xf>
    <xf numFmtId="3" fontId="3" fillId="0" borderId="6" xfId="0" applyNumberFormat="1" applyFont="1" applyFill="1" applyBorder="1" applyAlignment="1">
      <alignment horizontal="center" vertical="center" wrapText="1"/>
    </xf>
    <xf numFmtId="164" fontId="3" fillId="0" borderId="6" xfId="1" applyNumberFormat="1" applyFont="1" applyFill="1" applyBorder="1" applyAlignment="1">
      <alignment horizontal="center" vertical="center" wrapText="1"/>
    </xf>
    <xf numFmtId="0" fontId="3" fillId="0" borderId="0" xfId="0" applyFont="1" applyFill="1" applyAlignment="1">
      <alignment vertical="center" wrapText="1"/>
    </xf>
    <xf numFmtId="0" fontId="3" fillId="0" borderId="6" xfId="0" applyFont="1" applyFill="1" applyBorder="1" applyAlignment="1">
      <alignment horizontal="center"/>
    </xf>
    <xf numFmtId="0" fontId="3" fillId="0" borderId="6" xfId="0" applyFont="1" applyFill="1" applyBorder="1" applyAlignment="1"/>
    <xf numFmtId="0" fontId="3" fillId="0" borderId="6" xfId="0" applyFont="1" applyFill="1" applyBorder="1"/>
    <xf numFmtId="164" fontId="3" fillId="0" borderId="6" xfId="1" applyNumberFormat="1" applyFont="1" applyFill="1" applyBorder="1" applyAlignment="1">
      <alignment horizontal="right"/>
    </xf>
    <xf numFmtId="164" fontId="3" fillId="0" borderId="6" xfId="0" applyNumberFormat="1" applyFont="1" applyFill="1" applyBorder="1" applyAlignment="1">
      <alignment horizontal="right"/>
    </xf>
    <xf numFmtId="0" fontId="49" fillId="0" borderId="0" xfId="0" applyFont="1" applyFill="1" applyAlignment="1">
      <alignment vertical="center"/>
    </xf>
    <xf numFmtId="173" fontId="3" fillId="0" borderId="6" xfId="0" applyNumberFormat="1" applyFont="1" applyFill="1" applyBorder="1" applyAlignment="1">
      <alignment horizontal="right" vertical="center"/>
    </xf>
    <xf numFmtId="0" fontId="3" fillId="0" borderId="6" xfId="5" applyFont="1" applyFill="1" applyBorder="1" applyAlignment="1">
      <alignment horizontal="center" vertical="center"/>
    </xf>
    <xf numFmtId="0" fontId="3" fillId="0" borderId="6" xfId="5" applyFont="1" applyFill="1" applyBorder="1" applyAlignment="1">
      <alignment horizontal="center" vertical="center" wrapText="1"/>
    </xf>
    <xf numFmtId="0" fontId="3" fillId="0" borderId="6" xfId="5" applyFont="1" applyFill="1" applyBorder="1" applyAlignment="1">
      <alignment vertical="top" wrapText="1"/>
    </xf>
    <xf numFmtId="3" fontId="3" fillId="0" borderId="6" xfId="5" applyNumberFormat="1" applyFont="1" applyFill="1" applyBorder="1" applyAlignment="1">
      <alignment horizontal="right" vertical="center"/>
    </xf>
    <xf numFmtId="0" fontId="3" fillId="0" borderId="6" xfId="5" applyFont="1" applyFill="1" applyBorder="1" applyAlignment="1">
      <alignment vertical="center" wrapText="1"/>
    </xf>
    <xf numFmtId="0" fontId="3" fillId="0" borderId="6" xfId="0" applyFont="1" applyFill="1" applyBorder="1" applyAlignment="1">
      <alignment vertical="top" wrapText="1"/>
    </xf>
    <xf numFmtId="3" fontId="3" fillId="0" borderId="6" xfId="0" applyNumberFormat="1" applyFont="1" applyFill="1" applyBorder="1" applyAlignment="1">
      <alignment horizontal="right" vertical="center"/>
    </xf>
    <xf numFmtId="164" fontId="45" fillId="0" borderId="6" xfId="1" quotePrefix="1" applyNumberFormat="1" applyFont="1" applyFill="1" applyBorder="1" applyAlignment="1">
      <alignment horizontal="right" vertical="center"/>
    </xf>
    <xf numFmtId="0" fontId="45" fillId="0" borderId="6" xfId="0" quotePrefix="1" applyNumberFormat="1" applyFont="1" applyFill="1" applyBorder="1" applyAlignment="1">
      <alignment horizontal="center" vertical="center" wrapText="1"/>
    </xf>
    <xf numFmtId="0" fontId="45" fillId="0" borderId="6"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3" fontId="47" fillId="0" borderId="6" xfId="0" applyNumberFormat="1" applyFont="1" applyFill="1" applyBorder="1" applyAlignment="1">
      <alignment horizontal="center" vertical="center" wrapText="1"/>
    </xf>
    <xf numFmtId="42" fontId="45" fillId="0" borderId="6" xfId="9" applyNumberFormat="1" applyFont="1" applyFill="1" applyBorder="1" applyAlignment="1">
      <alignment vertical="center" wrapText="1"/>
    </xf>
    <xf numFmtId="3" fontId="45" fillId="0" borderId="6" xfId="9" applyNumberFormat="1" applyFont="1" applyFill="1" applyBorder="1" applyAlignment="1">
      <alignment horizontal="left" vertical="center" wrapText="1"/>
    </xf>
    <xf numFmtId="3" fontId="45" fillId="0" borderId="6" xfId="9" applyNumberFormat="1" applyFont="1" applyFill="1" applyBorder="1" applyAlignment="1">
      <alignment horizontal="center" vertical="center" wrapText="1"/>
    </xf>
    <xf numFmtId="0" fontId="47" fillId="0" borderId="6" xfId="0" quotePrefix="1" applyFont="1" applyFill="1" applyBorder="1" applyAlignment="1">
      <alignment horizontal="center" vertical="center" wrapText="1"/>
    </xf>
    <xf numFmtId="3" fontId="47" fillId="0" borderId="6" xfId="0" quotePrefix="1" applyNumberFormat="1" applyFont="1" applyFill="1" applyBorder="1" applyAlignment="1">
      <alignment horizontal="right" vertical="center" wrapText="1"/>
    </xf>
    <xf numFmtId="3" fontId="47" fillId="0" borderId="6" xfId="0" quotePrefix="1" applyNumberFormat="1" applyFont="1" applyFill="1" applyBorder="1" applyAlignment="1">
      <alignment horizontal="right" vertical="center"/>
    </xf>
    <xf numFmtId="3" fontId="47" fillId="0" borderId="6" xfId="0" quotePrefix="1" applyNumberFormat="1" applyFont="1" applyFill="1" applyBorder="1" applyAlignment="1">
      <alignment horizontal="center" vertical="center" wrapText="1"/>
    </xf>
    <xf numFmtId="3" fontId="45" fillId="0" borderId="6" xfId="0" applyNumberFormat="1" applyFont="1" applyFill="1" applyBorder="1" applyAlignment="1">
      <alignment horizontal="center" vertical="center" wrapText="1"/>
    </xf>
    <xf numFmtId="3" fontId="47" fillId="0" borderId="6" xfId="0" applyNumberFormat="1" applyFont="1" applyFill="1" applyBorder="1" applyAlignment="1">
      <alignment vertical="center" wrapText="1"/>
    </xf>
    <xf numFmtId="3" fontId="45" fillId="0" borderId="6" xfId="9" applyNumberFormat="1" applyFont="1" applyFill="1" applyBorder="1" applyAlignment="1">
      <alignment vertical="center" wrapText="1"/>
    </xf>
    <xf numFmtId="0" fontId="50" fillId="0" borderId="6" xfId="0" applyFont="1" applyFill="1" applyBorder="1" applyAlignment="1">
      <alignment horizontal="center" vertical="center" wrapText="1"/>
    </xf>
    <xf numFmtId="164" fontId="45" fillId="0" borderId="6" xfId="1" applyNumberFormat="1" applyFont="1" applyFill="1" applyBorder="1" applyAlignment="1">
      <alignment horizontal="right" vertical="center" wrapText="1"/>
    </xf>
    <xf numFmtId="164" fontId="45" fillId="0" borderId="6" xfId="0" applyNumberFormat="1" applyFont="1" applyFill="1" applyBorder="1" applyAlignment="1">
      <alignment horizontal="right" vertical="center" wrapText="1"/>
    </xf>
    <xf numFmtId="0" fontId="3" fillId="0" borderId="6" xfId="0" applyNumberFormat="1" applyFont="1" applyFill="1" applyBorder="1" applyAlignment="1">
      <alignment horizontal="center" vertical="center" wrapText="1"/>
    </xf>
    <xf numFmtId="3" fontId="45" fillId="0" borderId="0" xfId="0" applyNumberFormat="1" applyFont="1" applyFill="1" applyBorder="1" applyAlignment="1">
      <alignment horizontal="center" vertical="center" wrapText="1"/>
    </xf>
    <xf numFmtId="0" fontId="50" fillId="0" borderId="0" xfId="0" applyFont="1" applyFill="1" applyBorder="1" applyAlignment="1">
      <alignment horizontal="center" vertical="center" wrapText="1"/>
    </xf>
    <xf numFmtId="164" fontId="45" fillId="0" borderId="0" xfId="1" applyNumberFormat="1" applyFont="1" applyFill="1" applyBorder="1" applyAlignment="1">
      <alignment horizontal="right" vertical="center" wrapText="1"/>
    </xf>
    <xf numFmtId="164" fontId="45" fillId="0" borderId="0" xfId="0" applyNumberFormat="1" applyFont="1" applyFill="1" applyBorder="1" applyAlignment="1">
      <alignment horizontal="right" vertical="center" wrapText="1"/>
    </xf>
    <xf numFmtId="0" fontId="3" fillId="0" borderId="0" xfId="0" applyNumberFormat="1" applyFont="1" applyFill="1" applyBorder="1" applyAlignment="1">
      <alignment horizontal="center" vertical="center" wrapText="1"/>
    </xf>
    <xf numFmtId="173" fontId="45" fillId="0" borderId="6" xfId="0" applyNumberFormat="1" applyFont="1" applyFill="1" applyBorder="1" applyAlignment="1">
      <alignment horizontal="right" vertical="center"/>
    </xf>
    <xf numFmtId="173" fontId="45" fillId="0" borderId="6" xfId="0" applyNumberFormat="1" applyFont="1" applyFill="1" applyBorder="1" applyAlignment="1">
      <alignment horizontal="center" vertical="center"/>
    </xf>
    <xf numFmtId="173" fontId="45" fillId="0" borderId="6" xfId="0" applyNumberFormat="1" applyFont="1" applyFill="1" applyBorder="1" applyAlignment="1">
      <alignment vertical="center"/>
    </xf>
    <xf numFmtId="166" fontId="45" fillId="0" borderId="6" xfId="1" applyNumberFormat="1" applyFont="1" applyFill="1" applyBorder="1" applyAlignment="1">
      <alignment horizontal="right" vertical="center" wrapText="1"/>
    </xf>
    <xf numFmtId="166" fontId="45" fillId="0" borderId="6" xfId="1" quotePrefix="1" applyNumberFormat="1" applyFont="1" applyFill="1" applyBorder="1" applyAlignment="1">
      <alignment horizontal="right" vertical="center"/>
    </xf>
    <xf numFmtId="0" fontId="49" fillId="0" borderId="0" xfId="0" applyFont="1" applyFill="1"/>
    <xf numFmtId="166" fontId="45" fillId="0" borderId="6" xfId="1" applyNumberFormat="1" applyFont="1" applyFill="1" applyBorder="1" applyAlignment="1">
      <alignment vertical="center" wrapText="1"/>
    </xf>
    <xf numFmtId="166" fontId="45" fillId="0" borderId="6" xfId="1" applyNumberFormat="1" applyFont="1" applyFill="1" applyBorder="1" applyAlignment="1">
      <alignment horizontal="center" vertical="center" wrapText="1"/>
    </xf>
    <xf numFmtId="0" fontId="45" fillId="0" borderId="6" xfId="0" quotePrefix="1" applyFont="1" applyFill="1" applyBorder="1" applyAlignment="1">
      <alignment horizontal="center" vertical="center"/>
    </xf>
    <xf numFmtId="166" fontId="45" fillId="0" borderId="0" xfId="1" applyNumberFormat="1" applyFont="1" applyFill="1" applyBorder="1" applyAlignment="1">
      <alignment vertical="center" wrapText="1"/>
    </xf>
    <xf numFmtId="166" fontId="45" fillId="0" borderId="0" xfId="1" applyNumberFormat="1" applyFont="1" applyFill="1" applyBorder="1" applyAlignment="1">
      <alignment horizontal="center" vertical="center" wrapText="1"/>
    </xf>
    <xf numFmtId="166" fontId="45" fillId="0" borderId="0" xfId="1" applyNumberFormat="1" applyFont="1" applyFill="1" applyBorder="1" applyAlignment="1">
      <alignment horizontal="right" vertical="center" wrapText="1"/>
    </xf>
    <xf numFmtId="166" fontId="45" fillId="0" borderId="0" xfId="1" quotePrefix="1" applyNumberFormat="1" applyFont="1" applyFill="1" applyBorder="1" applyAlignment="1">
      <alignment horizontal="right" vertical="center"/>
    </xf>
    <xf numFmtId="0" fontId="51" fillId="0" borderId="6" xfId="0" quotePrefix="1" applyFont="1" applyFill="1" applyBorder="1" applyAlignment="1">
      <alignment horizontal="center" vertical="center"/>
    </xf>
    <xf numFmtId="3" fontId="51" fillId="0" borderId="6" xfId="0" quotePrefix="1" applyNumberFormat="1" applyFont="1" applyFill="1" applyBorder="1" applyAlignment="1">
      <alignment horizontal="right" vertical="center"/>
    </xf>
    <xf numFmtId="0" fontId="51" fillId="0" borderId="6" xfId="0" applyFont="1" applyFill="1" applyBorder="1" applyAlignment="1">
      <alignment horizontal="center" vertical="center"/>
    </xf>
    <xf numFmtId="0" fontId="51" fillId="0" borderId="6" xfId="0" applyFont="1" applyFill="1" applyBorder="1" applyAlignment="1">
      <alignment horizontal="center" vertical="center" wrapText="1"/>
    </xf>
    <xf numFmtId="0" fontId="45" fillId="0" borderId="6" xfId="0" quotePrefix="1" applyFont="1" applyFill="1" applyBorder="1" applyAlignment="1">
      <alignment vertical="center" wrapText="1"/>
    </xf>
    <xf numFmtId="0" fontId="51" fillId="0" borderId="0" xfId="0" quotePrefix="1" applyFont="1" applyFill="1" applyBorder="1" applyAlignment="1">
      <alignment horizontal="center" vertical="center"/>
    </xf>
    <xf numFmtId="3" fontId="51" fillId="0" borderId="0" xfId="0" quotePrefix="1" applyNumberFormat="1" applyFont="1" applyFill="1" applyBorder="1" applyAlignment="1">
      <alignment horizontal="right" vertical="center"/>
    </xf>
    <xf numFmtId="0" fontId="51"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45" fillId="0" borderId="0" xfId="0" quotePrefix="1" applyFont="1" applyFill="1" applyBorder="1" applyAlignment="1">
      <alignment vertical="center" wrapText="1"/>
    </xf>
    <xf numFmtId="0" fontId="3" fillId="0" borderId="6" xfId="1" applyNumberFormat="1" applyFont="1" applyFill="1" applyBorder="1" applyAlignment="1">
      <alignment horizontal="center" vertical="center" wrapText="1"/>
    </xf>
    <xf numFmtId="164" fontId="3" fillId="0" borderId="6" xfId="1" applyNumberFormat="1"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1" applyNumberFormat="1" applyFont="1" applyFill="1" applyBorder="1" applyAlignment="1">
      <alignment horizontal="center" vertical="center" wrapText="1"/>
    </xf>
    <xf numFmtId="164" fontId="3" fillId="0" borderId="0" xfId="1" applyNumberFormat="1" applyFont="1" applyFill="1" applyBorder="1" applyAlignment="1">
      <alignment horizontal="right" vertical="center"/>
    </xf>
    <xf numFmtId="170" fontId="45" fillId="0" borderId="6" xfId="0" applyNumberFormat="1" applyFont="1" applyFill="1" applyBorder="1" applyAlignment="1">
      <alignment horizontal="right" vertical="center" wrapText="1"/>
    </xf>
    <xf numFmtId="164" fontId="45" fillId="0" borderId="6" xfId="1" applyNumberFormat="1" applyFont="1" applyFill="1" applyBorder="1"/>
    <xf numFmtId="3" fontId="45" fillId="0" borderId="6" xfId="0" applyNumberFormat="1" applyFont="1" applyFill="1" applyBorder="1" applyAlignment="1">
      <alignment horizontal="right" vertical="center"/>
    </xf>
    <xf numFmtId="164" fontId="45" fillId="0" borderId="6" xfId="21" applyNumberFormat="1" applyFont="1" applyFill="1" applyBorder="1" applyAlignment="1">
      <alignment horizontal="right" vertical="center"/>
    </xf>
    <xf numFmtId="164" fontId="45" fillId="0" borderId="0" xfId="21"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47" fillId="0" borderId="6" xfId="0" applyFont="1" applyFill="1" applyBorder="1" applyAlignment="1">
      <alignment horizontal="center" vertical="top" wrapText="1"/>
    </xf>
    <xf numFmtId="0" fontId="45" fillId="0" borderId="6" xfId="0" applyFont="1" applyFill="1" applyBorder="1" applyAlignment="1">
      <alignment horizontal="center"/>
    </xf>
    <xf numFmtId="0" fontId="47" fillId="0" borderId="6" xfId="0" applyFont="1" applyFill="1" applyBorder="1" applyAlignment="1">
      <alignment vertical="top" wrapText="1"/>
    </xf>
    <xf numFmtId="164" fontId="47" fillId="0" borderId="6" xfId="1" applyNumberFormat="1" applyFont="1" applyFill="1" applyBorder="1" applyAlignment="1">
      <alignment vertical="top"/>
    </xf>
    <xf numFmtId="164" fontId="45" fillId="0" borderId="6" xfId="1" applyNumberFormat="1" applyFont="1" applyFill="1" applyBorder="1" applyAlignment="1">
      <alignment horizontal="center" vertical="top"/>
    </xf>
    <xf numFmtId="164" fontId="47" fillId="0" borderId="6" xfId="1" applyNumberFormat="1" applyFont="1" applyFill="1" applyBorder="1" applyAlignment="1">
      <alignment horizontal="center" vertical="top"/>
    </xf>
    <xf numFmtId="164" fontId="45" fillId="0" borderId="6" xfId="1" applyNumberFormat="1" applyFont="1" applyFill="1" applyBorder="1" applyAlignment="1">
      <alignment horizontal="right" vertical="top"/>
    </xf>
    <xf numFmtId="164" fontId="45" fillId="0" borderId="6" xfId="1" applyNumberFormat="1" applyFont="1" applyFill="1" applyBorder="1" applyAlignment="1">
      <alignment horizontal="center" vertical="top" wrapText="1"/>
    </xf>
    <xf numFmtId="0" fontId="45" fillId="0" borderId="6" xfId="1" applyNumberFormat="1" applyFont="1" applyFill="1" applyBorder="1" applyAlignment="1">
      <alignment horizontal="center" vertical="center"/>
    </xf>
    <xf numFmtId="3" fontId="47" fillId="0" borderId="6" xfId="0" applyNumberFormat="1" applyFont="1" applyFill="1" applyBorder="1" applyAlignment="1">
      <alignment vertical="top" wrapText="1"/>
    </xf>
    <xf numFmtId="0" fontId="47" fillId="0" borderId="0" xfId="0" applyFont="1" applyFill="1" applyBorder="1" applyAlignment="1">
      <alignment horizontal="center" vertical="top" wrapText="1"/>
    </xf>
    <xf numFmtId="0" fontId="45" fillId="0" borderId="0" xfId="0" applyFont="1" applyFill="1" applyBorder="1" applyAlignment="1">
      <alignment horizontal="center"/>
    </xf>
    <xf numFmtId="3" fontId="47" fillId="0" borderId="0" xfId="0" applyNumberFormat="1" applyFont="1" applyFill="1" applyBorder="1" applyAlignment="1">
      <alignment vertical="top" wrapText="1"/>
    </xf>
    <xf numFmtId="164" fontId="47" fillId="0" borderId="0" xfId="1" applyNumberFormat="1" applyFont="1" applyFill="1" applyBorder="1" applyAlignment="1">
      <alignment vertical="top"/>
    </xf>
    <xf numFmtId="164" fontId="45" fillId="0" borderId="0" xfId="1" applyNumberFormat="1" applyFont="1" applyFill="1" applyBorder="1" applyAlignment="1">
      <alignment horizontal="center" vertical="top"/>
    </xf>
    <xf numFmtId="164" fontId="47" fillId="0" borderId="0" xfId="1" applyNumberFormat="1" applyFont="1" applyFill="1" applyBorder="1" applyAlignment="1">
      <alignment horizontal="center" vertical="top"/>
    </xf>
    <xf numFmtId="164" fontId="45" fillId="0" borderId="0" xfId="1" applyNumberFormat="1" applyFont="1" applyFill="1" applyBorder="1" applyAlignment="1">
      <alignment horizontal="right" vertical="top"/>
    </xf>
    <xf numFmtId="164" fontId="45" fillId="0" borderId="0" xfId="1" applyNumberFormat="1" applyFont="1" applyFill="1" applyBorder="1" applyAlignment="1">
      <alignment horizontal="center" vertical="top" wrapText="1"/>
    </xf>
    <xf numFmtId="0" fontId="45" fillId="0" borderId="0" xfId="1" applyNumberFormat="1" applyFont="1" applyFill="1" applyBorder="1" applyAlignment="1">
      <alignment horizontal="center" vertical="center"/>
    </xf>
    <xf numFmtId="0" fontId="50" fillId="0" borderId="6" xfId="0" applyFont="1" applyFill="1" applyBorder="1" applyAlignment="1">
      <alignment horizontal="center" vertical="center"/>
    </xf>
    <xf numFmtId="0" fontId="50" fillId="0" borderId="6" xfId="0" applyFont="1" applyFill="1" applyBorder="1" applyAlignment="1">
      <alignment vertical="center" wrapText="1"/>
    </xf>
    <xf numFmtId="164" fontId="50" fillId="0" borderId="6" xfId="1" applyNumberFormat="1" applyFont="1" applyFill="1" applyBorder="1" applyAlignment="1">
      <alignment horizontal="right" vertical="center"/>
    </xf>
    <xf numFmtId="164" fontId="50" fillId="0" borderId="6" xfId="1" applyNumberFormat="1" applyFont="1" applyFill="1" applyBorder="1" applyAlignment="1">
      <alignment horizontal="right" vertical="center" wrapText="1"/>
    </xf>
    <xf numFmtId="0" fontId="50" fillId="0" borderId="6" xfId="0" applyFont="1" applyFill="1" applyBorder="1" applyAlignment="1">
      <alignment horizontal="left" vertical="center" wrapText="1"/>
    </xf>
    <xf numFmtId="0" fontId="50" fillId="0" borderId="6" xfId="25" applyFont="1" applyFill="1" applyBorder="1" applyAlignment="1">
      <alignment horizontal="left" vertical="center" wrapText="1"/>
    </xf>
    <xf numFmtId="0" fontId="50" fillId="0" borderId="2" xfId="0" applyFont="1" applyFill="1" applyBorder="1" applyAlignment="1">
      <alignment horizontal="center" vertical="center"/>
    </xf>
    <xf numFmtId="164" fontId="50" fillId="0" borderId="2" xfId="1" applyNumberFormat="1" applyFont="1" applyFill="1" applyBorder="1" applyAlignment="1">
      <alignment horizontal="right" vertical="center"/>
    </xf>
    <xf numFmtId="164" fontId="50" fillId="0" borderId="2" xfId="1" applyNumberFormat="1" applyFont="1" applyFill="1" applyBorder="1" applyAlignment="1">
      <alignment horizontal="right" vertical="center" wrapText="1"/>
    </xf>
    <xf numFmtId="0" fontId="3" fillId="0" borderId="2" xfId="0" applyFont="1" applyFill="1" applyBorder="1" applyAlignment="1">
      <alignment horizontal="center" vertical="center" wrapText="1"/>
    </xf>
    <xf numFmtId="0" fontId="50" fillId="0" borderId="2" xfId="25" applyFont="1" applyFill="1" applyBorder="1" applyAlignment="1">
      <alignment horizontal="left" vertical="center" wrapText="1"/>
    </xf>
    <xf numFmtId="0" fontId="50" fillId="0" borderId="0" xfId="0" applyFont="1" applyFill="1" applyBorder="1" applyAlignment="1">
      <alignment horizontal="center" vertical="center"/>
    </xf>
    <xf numFmtId="0" fontId="50" fillId="0" borderId="0" xfId="0" applyFont="1" applyFill="1" applyBorder="1" applyAlignment="1">
      <alignment vertical="center" wrapText="1"/>
    </xf>
    <xf numFmtId="164" fontId="50" fillId="0" borderId="0" xfId="1" applyNumberFormat="1" applyFont="1" applyFill="1" applyBorder="1" applyAlignment="1">
      <alignment horizontal="right" vertical="center"/>
    </xf>
    <xf numFmtId="164" fontId="50" fillId="0" borderId="0" xfId="1" applyNumberFormat="1" applyFont="1" applyFill="1" applyBorder="1" applyAlignment="1">
      <alignment horizontal="right" vertical="center" wrapText="1"/>
    </xf>
    <xf numFmtId="0" fontId="50" fillId="0" borderId="0" xfId="25" applyFont="1" applyFill="1" applyBorder="1" applyAlignment="1">
      <alignment horizontal="left" vertical="center" wrapText="1"/>
    </xf>
    <xf numFmtId="0" fontId="45" fillId="0" borderId="6" xfId="24" applyFont="1" applyFill="1" applyBorder="1" applyAlignment="1">
      <alignment horizontal="center" vertical="center" wrapText="1"/>
    </xf>
    <xf numFmtId="0" fontId="45" fillId="0" borderId="6" xfId="24" applyFont="1" applyFill="1" applyBorder="1" applyAlignment="1">
      <alignment vertical="center" wrapText="1"/>
    </xf>
    <xf numFmtId="0" fontId="45" fillId="0" borderId="6" xfId="29" applyFont="1" applyFill="1" applyBorder="1" applyAlignment="1">
      <alignment horizontal="center" vertical="center" wrapText="1"/>
    </xf>
    <xf numFmtId="0" fontId="45" fillId="0" borderId="6" xfId="25" applyFont="1" applyFill="1" applyBorder="1" applyAlignment="1">
      <alignment horizontal="center" vertical="center" wrapText="1"/>
    </xf>
    <xf numFmtId="170" fontId="45" fillId="0" borderId="6" xfId="29" applyNumberFormat="1" applyFont="1" applyFill="1" applyBorder="1" applyAlignment="1">
      <alignment horizontal="right" vertical="center" wrapText="1"/>
    </xf>
    <xf numFmtId="170" fontId="3" fillId="0" borderId="6" xfId="0" applyNumberFormat="1" applyFont="1" applyFill="1" applyBorder="1" applyAlignment="1">
      <alignment horizontal="right" vertical="center"/>
    </xf>
    <xf numFmtId="3" fontId="45" fillId="0" borderId="6" xfId="29" applyNumberFormat="1" applyFont="1" applyFill="1" applyBorder="1" applyAlignment="1">
      <alignment horizontal="center" vertical="center" wrapText="1"/>
    </xf>
    <xf numFmtId="0" fontId="49" fillId="0" borderId="6" xfId="29" applyFont="1" applyFill="1" applyBorder="1" applyAlignment="1">
      <alignment horizontal="left" vertical="center" wrapText="1"/>
    </xf>
    <xf numFmtId="0" fontId="45" fillId="0" borderId="0" xfId="24" applyFont="1" applyFill="1" applyBorder="1" applyAlignment="1">
      <alignment horizontal="center" vertical="center" wrapText="1"/>
    </xf>
    <xf numFmtId="0" fontId="45" fillId="0" borderId="0" xfId="24" applyFont="1" applyFill="1" applyBorder="1" applyAlignment="1">
      <alignment vertical="center" wrapText="1"/>
    </xf>
    <xf numFmtId="0" fontId="45" fillId="0" borderId="0" xfId="25" applyFont="1" applyFill="1" applyBorder="1" applyAlignment="1">
      <alignment horizontal="center" vertical="center" wrapText="1"/>
    </xf>
    <xf numFmtId="170" fontId="45" fillId="0" borderId="0" xfId="29" applyNumberFormat="1" applyFont="1" applyFill="1" applyBorder="1" applyAlignment="1">
      <alignment horizontal="right" vertical="center" wrapText="1"/>
    </xf>
    <xf numFmtId="170" fontId="3" fillId="0" borderId="0" xfId="0" applyNumberFormat="1" applyFont="1" applyFill="1" applyBorder="1" applyAlignment="1">
      <alignment horizontal="right" vertical="center"/>
    </xf>
    <xf numFmtId="3" fontId="45" fillId="0" borderId="0" xfId="29" applyNumberFormat="1" applyFont="1" applyFill="1" applyBorder="1" applyAlignment="1">
      <alignment horizontal="center" vertical="center" wrapText="1"/>
    </xf>
    <xf numFmtId="0" fontId="49" fillId="0" borderId="0" xfId="29" applyFont="1" applyFill="1" applyBorder="1" applyAlignment="1">
      <alignment horizontal="left" vertical="center" wrapText="1"/>
    </xf>
    <xf numFmtId="0" fontId="45" fillId="0" borderId="6" xfId="0" quotePrefix="1" applyFont="1" applyFill="1" applyBorder="1" applyAlignment="1">
      <alignment horizontal="center" vertical="top" wrapText="1"/>
    </xf>
    <xf numFmtId="0" fontId="45" fillId="0" borderId="6" xfId="0" applyFont="1" applyFill="1" applyBorder="1" applyAlignment="1">
      <alignment vertical="top" wrapText="1"/>
    </xf>
    <xf numFmtId="49" fontId="3" fillId="0" borderId="6" xfId="7" applyNumberFormat="1" applyFont="1" applyFill="1" applyBorder="1" applyAlignment="1">
      <alignment horizontal="center" vertical="top" wrapText="1"/>
    </xf>
    <xf numFmtId="3" fontId="45" fillId="0" borderId="6" xfId="0" quotePrefix="1" applyNumberFormat="1" applyFont="1" applyFill="1" applyBorder="1" applyAlignment="1">
      <alignment horizontal="right" vertical="top" wrapText="1"/>
    </xf>
    <xf numFmtId="3" fontId="45" fillId="0" borderId="6" xfId="1" quotePrefix="1" applyNumberFormat="1" applyFont="1" applyFill="1" applyBorder="1" applyAlignment="1">
      <alignment horizontal="right" vertical="top" wrapText="1"/>
    </xf>
    <xf numFmtId="49" fontId="3" fillId="0" borderId="6" xfId="0" applyNumberFormat="1" applyFont="1" applyFill="1" applyBorder="1" applyAlignment="1">
      <alignment horizontal="center" vertical="top" wrapText="1"/>
    </xf>
    <xf numFmtId="0" fontId="45" fillId="0" borderId="6" xfId="1" quotePrefix="1" applyNumberFormat="1" applyFont="1" applyFill="1" applyBorder="1" applyAlignment="1">
      <alignment horizontal="center" vertical="top" wrapText="1"/>
    </xf>
    <xf numFmtId="49" fontId="45" fillId="0" borderId="6" xfId="0" applyNumberFormat="1" applyFont="1" applyFill="1" applyBorder="1" applyAlignment="1">
      <alignment horizontal="center" vertical="center" wrapText="1"/>
    </xf>
    <xf numFmtId="0" fontId="45" fillId="0" borderId="6" xfId="0" applyFont="1" applyFill="1" applyBorder="1" applyAlignment="1">
      <alignment horizontal="center" vertical="top" wrapText="1"/>
    </xf>
    <xf numFmtId="0" fontId="54" fillId="0" borderId="0" xfId="0" applyFont="1" applyFill="1" applyAlignment="1">
      <alignment horizontal="left"/>
    </xf>
    <xf numFmtId="0" fontId="45" fillId="0" borderId="0" xfId="0" quotePrefix="1" applyFont="1" applyFill="1" applyBorder="1" applyAlignment="1">
      <alignment horizontal="center" vertical="top" wrapText="1"/>
    </xf>
    <xf numFmtId="0" fontId="45" fillId="0" borderId="0" xfId="0" applyFont="1" applyFill="1" applyBorder="1" applyAlignment="1">
      <alignment vertical="top" wrapText="1"/>
    </xf>
    <xf numFmtId="49" fontId="3" fillId="0" borderId="0" xfId="0" applyNumberFormat="1" applyFont="1" applyFill="1" applyBorder="1" applyAlignment="1">
      <alignment horizontal="center" vertical="top" wrapText="1"/>
    </xf>
    <xf numFmtId="0" fontId="45" fillId="0" borderId="0" xfId="0" applyFont="1" applyFill="1" applyBorder="1" applyAlignment="1">
      <alignment horizontal="center" vertical="top" wrapText="1"/>
    </xf>
    <xf numFmtId="3" fontId="45" fillId="0" borderId="0" xfId="0" quotePrefix="1" applyNumberFormat="1" applyFont="1" applyFill="1" applyBorder="1" applyAlignment="1">
      <alignment horizontal="right" vertical="top" wrapText="1"/>
    </xf>
    <xf numFmtId="3" fontId="45" fillId="0" borderId="0" xfId="1" quotePrefix="1" applyNumberFormat="1" applyFont="1" applyFill="1" applyBorder="1" applyAlignment="1">
      <alignment horizontal="right" vertical="top" wrapText="1"/>
    </xf>
    <xf numFmtId="0" fontId="45" fillId="0" borderId="0" xfId="1" quotePrefix="1" applyNumberFormat="1" applyFont="1" applyFill="1" applyBorder="1" applyAlignment="1">
      <alignment horizontal="center" vertical="top" wrapText="1"/>
    </xf>
    <xf numFmtId="49" fontId="45" fillId="0" borderId="0" xfId="0" applyNumberFormat="1" applyFont="1" applyFill="1" applyBorder="1" applyAlignment="1">
      <alignment horizontal="center" vertical="center" wrapText="1"/>
    </xf>
    <xf numFmtId="164" fontId="3" fillId="0" borderId="6"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0" fontId="44" fillId="0" borderId="1" xfId="0" applyFont="1" applyFill="1" applyBorder="1" applyAlignment="1">
      <alignment horizontal="center" vertical="center"/>
    </xf>
    <xf numFmtId="0" fontId="44" fillId="0" borderId="1" xfId="0" applyFont="1" applyFill="1" applyBorder="1" applyAlignment="1">
      <alignment horizontal="center" vertical="center" wrapText="1"/>
    </xf>
    <xf numFmtId="164" fontId="44" fillId="0" borderId="1" xfId="1" applyNumberFormat="1" applyFont="1" applyFill="1" applyBorder="1" applyAlignment="1">
      <alignment horizontal="right" vertical="center"/>
    </xf>
    <xf numFmtId="0" fontId="44" fillId="0" borderId="1" xfId="0" applyFont="1" applyFill="1" applyBorder="1" applyAlignment="1">
      <alignment horizontal="left" vertical="center" wrapText="1"/>
    </xf>
    <xf numFmtId="0" fontId="44" fillId="0" borderId="1" xfId="0" quotePrefix="1" applyNumberFormat="1" applyFont="1" applyFill="1" applyBorder="1" applyAlignment="1">
      <alignment horizontal="center" vertical="center"/>
    </xf>
    <xf numFmtId="0" fontId="44" fillId="0" borderId="1" xfId="0" applyFont="1" applyFill="1" applyBorder="1" applyAlignment="1">
      <alignment vertical="center" wrapText="1"/>
    </xf>
    <xf numFmtId="3" fontId="3" fillId="0" borderId="0" xfId="0" applyNumberFormat="1" applyFont="1" applyFill="1" applyBorder="1" applyAlignment="1">
      <alignment horizontal="right" vertical="center" wrapText="1"/>
    </xf>
    <xf numFmtId="0" fontId="3" fillId="0" borderId="6" xfId="0" applyFont="1" applyFill="1" applyBorder="1" applyAlignment="1">
      <alignment vertical="center"/>
    </xf>
    <xf numFmtId="171" fontId="3" fillId="0" borderId="6" xfId="1" applyNumberFormat="1" applyFont="1" applyFill="1" applyBorder="1" applyAlignment="1">
      <alignment horizontal="right" vertical="center" wrapText="1"/>
    </xf>
    <xf numFmtId="171" fontId="3" fillId="0" borderId="6" xfId="0" applyNumberFormat="1" applyFont="1" applyFill="1" applyBorder="1" applyAlignment="1">
      <alignment horizontal="right" vertical="center" wrapText="1"/>
    </xf>
    <xf numFmtId="0" fontId="3" fillId="0" borderId="8"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8" xfId="0" applyFont="1" applyFill="1" applyBorder="1" applyAlignment="1">
      <alignment vertical="center" wrapText="1"/>
    </xf>
    <xf numFmtId="171" fontId="3" fillId="0" borderId="8" xfId="1" applyNumberFormat="1" applyFont="1" applyFill="1" applyBorder="1" applyAlignment="1">
      <alignment horizontal="right" vertical="center" wrapText="1"/>
    </xf>
    <xf numFmtId="171" fontId="3" fillId="0" borderId="8" xfId="0" applyNumberFormat="1" applyFont="1" applyFill="1" applyBorder="1" applyAlignment="1">
      <alignment horizontal="right" vertical="center" wrapText="1"/>
    </xf>
    <xf numFmtId="0" fontId="44" fillId="2" borderId="2" xfId="0" applyFont="1" applyFill="1" applyBorder="1" applyAlignment="1">
      <alignment horizontal="center" vertical="center"/>
    </xf>
    <xf numFmtId="0" fontId="44" fillId="2" borderId="2" xfId="0" applyFont="1" applyFill="1" applyBorder="1" applyAlignment="1">
      <alignment horizontal="center" vertical="center" wrapText="1"/>
    </xf>
    <xf numFmtId="164" fontId="44" fillId="2" borderId="2" xfId="1" applyNumberFormat="1" applyFont="1" applyFill="1" applyBorder="1" applyAlignment="1">
      <alignment horizontal="right" vertical="center"/>
    </xf>
    <xf numFmtId="0" fontId="44" fillId="2" borderId="2" xfId="0" applyFont="1" applyFill="1" applyBorder="1" applyAlignment="1">
      <alignment horizontal="left" vertical="center" wrapText="1"/>
    </xf>
    <xf numFmtId="0" fontId="44" fillId="2" borderId="2" xfId="0" quotePrefix="1" applyNumberFormat="1" applyFont="1" applyFill="1" applyBorder="1" applyAlignment="1">
      <alignment horizontal="center" vertical="center"/>
    </xf>
    <xf numFmtId="0" fontId="44" fillId="2" borderId="2" xfId="0" applyFont="1" applyFill="1" applyBorder="1" applyAlignment="1">
      <alignment vertical="center" wrapText="1"/>
    </xf>
    <xf numFmtId="0" fontId="4" fillId="0" borderId="0" xfId="0" applyFont="1" applyFill="1"/>
    <xf numFmtId="0" fontId="4" fillId="7" borderId="2" xfId="0" applyFont="1" applyFill="1" applyBorder="1"/>
    <xf numFmtId="0" fontId="4" fillId="7" borderId="2" xfId="0" applyFont="1" applyFill="1" applyBorder="1" applyAlignment="1">
      <alignment horizontal="center"/>
    </xf>
    <xf numFmtId="0" fontId="4" fillId="7" borderId="2" xfId="0" applyFont="1" applyFill="1" applyBorder="1" applyAlignment="1">
      <alignment horizontal="right"/>
    </xf>
    <xf numFmtId="164" fontId="4" fillId="7" borderId="2" xfId="0" applyNumberFormat="1" applyFont="1" applyFill="1" applyBorder="1" applyAlignment="1">
      <alignment horizontal="right"/>
    </xf>
    <xf numFmtId="0" fontId="4" fillId="7" borderId="2" xfId="0" applyFont="1" applyFill="1" applyBorder="1" applyAlignment="1">
      <alignment vertical="center"/>
    </xf>
    <xf numFmtId="0" fontId="4" fillId="7" borderId="2" xfId="0" applyFont="1" applyFill="1" applyBorder="1" applyAlignment="1">
      <alignment vertical="center" wrapText="1"/>
    </xf>
    <xf numFmtId="0" fontId="3" fillId="7" borderId="2" xfId="0" applyFont="1" applyFill="1" applyBorder="1"/>
    <xf numFmtId="0" fontId="3" fillId="7" borderId="2" xfId="0" applyFont="1" applyFill="1" applyBorder="1" applyAlignment="1">
      <alignment horizontal="center"/>
    </xf>
    <xf numFmtId="0" fontId="3" fillId="7" borderId="2" xfId="0" applyFont="1" applyFill="1" applyBorder="1" applyAlignment="1">
      <alignment horizontal="right"/>
    </xf>
    <xf numFmtId="0" fontId="3" fillId="7" borderId="2" xfId="0" applyFont="1" applyFill="1" applyBorder="1" applyAlignment="1">
      <alignment vertical="center"/>
    </xf>
    <xf numFmtId="0" fontId="3" fillId="7" borderId="2" xfId="0" applyFont="1" applyFill="1" applyBorder="1" applyAlignment="1">
      <alignment vertical="center" wrapText="1"/>
    </xf>
    <xf numFmtId="0" fontId="3" fillId="0" borderId="26" xfId="0" applyFont="1" applyFill="1" applyBorder="1" applyAlignment="1">
      <alignment wrapText="1"/>
    </xf>
    <xf numFmtId="0" fontId="36" fillId="0" borderId="0" xfId="0" applyFont="1" applyAlignment="1">
      <alignment vertical="center" wrapText="1"/>
    </xf>
    <xf numFmtId="0" fontId="3" fillId="0" borderId="0" xfId="0" applyFont="1" applyFill="1" applyAlignment="1">
      <alignment horizontal="center"/>
    </xf>
    <xf numFmtId="0" fontId="3" fillId="0" borderId="0" xfId="0" applyFont="1" applyFill="1" applyAlignment="1">
      <alignment horizontal="right"/>
    </xf>
    <xf numFmtId="0" fontId="37" fillId="0" borderId="0" xfId="0" applyFont="1" applyAlignment="1">
      <alignment vertical="center" wrapText="1"/>
    </xf>
    <xf numFmtId="164" fontId="3" fillId="0" borderId="0" xfId="0" applyNumberFormat="1" applyFont="1" applyFill="1" applyAlignment="1">
      <alignment horizontal="right"/>
    </xf>
    <xf numFmtId="0" fontId="26" fillId="0" borderId="0" xfId="0" applyFont="1" applyFill="1" applyAlignment="1">
      <alignment horizontal="center"/>
    </xf>
    <xf numFmtId="0" fontId="26" fillId="0" borderId="0" xfId="0" applyFont="1" applyFill="1" applyAlignment="1">
      <alignment horizontal="right"/>
    </xf>
    <xf numFmtId="0" fontId="26" fillId="0" borderId="0" xfId="0" applyFont="1" applyFill="1"/>
    <xf numFmtId="0" fontId="26" fillId="0" borderId="0" xfId="0" applyFont="1" applyFill="1" applyAlignment="1">
      <alignment vertical="center"/>
    </xf>
    <xf numFmtId="0" fontId="26" fillId="0" borderId="0" xfId="0" applyFont="1" applyFill="1" applyAlignment="1">
      <alignment vertical="center" wrapText="1"/>
    </xf>
    <xf numFmtId="0" fontId="42" fillId="0" borderId="0" xfId="0" applyFont="1" applyFill="1"/>
    <xf numFmtId="0" fontId="42" fillId="0" borderId="0" xfId="0" applyFont="1" applyFill="1" applyAlignment="1">
      <alignment horizontal="center"/>
    </xf>
    <xf numFmtId="0" fontId="42" fillId="0" borderId="0" xfId="0" applyFont="1" applyFill="1" applyAlignment="1">
      <alignment horizontal="right"/>
    </xf>
    <xf numFmtId="0" fontId="42" fillId="0" borderId="0" xfId="0" applyFont="1" applyFill="1" applyAlignment="1">
      <alignment vertical="center" wrapText="1"/>
    </xf>
    <xf numFmtId="0" fontId="55" fillId="0" borderId="0" xfId="0" applyFont="1" applyFill="1" applyAlignment="1">
      <alignment horizontal="center" vertical="center"/>
    </xf>
    <xf numFmtId="0" fontId="55" fillId="0" borderId="0" xfId="0" applyFont="1" applyFill="1"/>
    <xf numFmtId="0" fontId="55" fillId="0" borderId="0" xfId="0" applyFont="1" applyFill="1" applyAlignment="1"/>
    <xf numFmtId="164" fontId="55" fillId="0" borderId="0" xfId="1" applyNumberFormat="1" applyFont="1" applyFill="1"/>
    <xf numFmtId="164" fontId="56" fillId="0" borderId="0" xfId="1" applyNumberFormat="1" applyFont="1" applyFill="1" applyAlignment="1"/>
    <xf numFmtId="0" fontId="13" fillId="0" borderId="0" xfId="0" applyFont="1" applyFill="1"/>
    <xf numFmtId="0" fontId="13" fillId="0" borderId="0" xfId="0" applyFont="1" applyFill="1" applyAlignment="1">
      <alignment vertical="center" wrapText="1"/>
    </xf>
    <xf numFmtId="0" fontId="57" fillId="2" borderId="0" xfId="0" applyFont="1" applyFill="1" applyAlignment="1">
      <alignment vertical="center" wrapText="1"/>
    </xf>
    <xf numFmtId="0" fontId="58" fillId="2" borderId="0" xfId="0" applyFont="1" applyFill="1" applyAlignment="1">
      <alignment vertical="center" wrapText="1"/>
    </xf>
    <xf numFmtId="0" fontId="57" fillId="2" borderId="0" xfId="0" applyFont="1" applyFill="1"/>
    <xf numFmtId="164" fontId="55" fillId="0" borderId="0" xfId="1" applyNumberFormat="1" applyFont="1" applyFill="1" applyAlignment="1">
      <alignment horizontal="center" wrapText="1"/>
    </xf>
    <xf numFmtId="0" fontId="61" fillId="0" borderId="0" xfId="0" applyFont="1" applyFill="1" applyAlignment="1">
      <alignment horizontal="right" vertical="center" wrapText="1"/>
    </xf>
    <xf numFmtId="164" fontId="62" fillId="0" borderId="0" xfId="1" applyNumberFormat="1" applyFont="1" applyFill="1" applyAlignment="1">
      <alignment horizontal="center"/>
    </xf>
    <xf numFmtId="164" fontId="55" fillId="0" borderId="2" xfId="1" applyNumberFormat="1" applyFont="1" applyFill="1" applyBorder="1" applyAlignment="1">
      <alignment horizontal="center" vertical="center" wrapText="1"/>
    </xf>
    <xf numFmtId="164" fontId="56" fillId="0" borderId="2" xfId="1" applyNumberFormat="1" applyFont="1" applyFill="1" applyBorder="1" applyAlignment="1">
      <alignment vertical="center" wrapText="1"/>
    </xf>
    <xf numFmtId="164" fontId="55" fillId="0" borderId="2" xfId="1" applyNumberFormat="1" applyFont="1" applyFill="1" applyBorder="1" applyAlignment="1">
      <alignment horizontal="center" vertical="center"/>
    </xf>
    <xf numFmtId="164" fontId="55" fillId="0" borderId="0" xfId="1" applyNumberFormat="1" applyFont="1" applyFill="1" applyBorder="1" applyAlignment="1">
      <alignment horizontal="center" vertical="center"/>
    </xf>
    <xf numFmtId="0" fontId="55" fillId="0" borderId="5" xfId="0" applyFont="1" applyFill="1" applyBorder="1" applyAlignment="1">
      <alignment horizontal="center" vertical="center"/>
    </xf>
    <xf numFmtId="0" fontId="55" fillId="0" borderId="5" xfId="7" applyFont="1" applyFill="1" applyBorder="1" applyAlignment="1">
      <alignment horizontal="center" vertical="center"/>
    </xf>
    <xf numFmtId="0" fontId="55" fillId="0" borderId="5" xfId="7" applyFont="1" applyFill="1" applyBorder="1" applyAlignment="1">
      <alignment vertical="center" wrapText="1"/>
    </xf>
    <xf numFmtId="0" fontId="55" fillId="0" borderId="5" xfId="0" applyFont="1" applyFill="1" applyBorder="1" applyAlignment="1">
      <alignment horizontal="center" vertical="center" wrapText="1"/>
    </xf>
    <xf numFmtId="0" fontId="55" fillId="0" borderId="5" xfId="7" applyFont="1" applyFill="1" applyBorder="1" applyAlignment="1">
      <alignment horizontal="center" vertical="center" wrapText="1"/>
    </xf>
    <xf numFmtId="164" fontId="56" fillId="0" borderId="5" xfId="1" applyNumberFormat="1" applyFont="1" applyFill="1" applyBorder="1" applyAlignment="1">
      <alignment wrapText="1"/>
    </xf>
    <xf numFmtId="164" fontId="55" fillId="0" borderId="5" xfId="1" applyNumberFormat="1" applyFont="1" applyFill="1" applyBorder="1" applyAlignment="1">
      <alignment wrapText="1"/>
    </xf>
    <xf numFmtId="0" fontId="55" fillId="0" borderId="6" xfId="0" applyFont="1" applyFill="1" applyBorder="1" applyAlignment="1">
      <alignment vertical="center" wrapText="1"/>
    </xf>
    <xf numFmtId="0" fontId="55" fillId="0" borderId="6" xfId="0" applyFont="1" applyFill="1" applyBorder="1" applyAlignment="1">
      <alignment horizontal="center" vertical="center"/>
    </xf>
    <xf numFmtId="0" fontId="55" fillId="0" borderId="6" xfId="7" applyFont="1" applyFill="1" applyBorder="1" applyAlignment="1">
      <alignment horizontal="center" vertical="center"/>
    </xf>
    <xf numFmtId="0" fontId="55" fillId="0" borderId="6" xfId="7" applyFont="1" applyFill="1" applyBorder="1" applyAlignment="1">
      <alignment vertical="center" wrapText="1"/>
    </xf>
    <xf numFmtId="0" fontId="55" fillId="0" borderId="6" xfId="0" applyFont="1" applyFill="1" applyBorder="1" applyAlignment="1">
      <alignment horizontal="center" vertical="center" wrapText="1"/>
    </xf>
    <xf numFmtId="0" fontId="55" fillId="0" borderId="6" xfId="7" applyFont="1" applyFill="1" applyBorder="1" applyAlignment="1">
      <alignment horizontal="center" vertical="center" wrapText="1"/>
    </xf>
    <xf numFmtId="164" fontId="56" fillId="0" borderId="6" xfId="1" applyNumberFormat="1" applyFont="1" applyFill="1" applyBorder="1" applyAlignment="1">
      <alignment wrapText="1"/>
    </xf>
    <xf numFmtId="164" fontId="55" fillId="0" borderId="6" xfId="1" applyNumberFormat="1" applyFont="1" applyFill="1" applyBorder="1" applyAlignment="1">
      <alignment wrapText="1"/>
    </xf>
    <xf numFmtId="0" fontId="55" fillId="0" borderId="8" xfId="7" applyFont="1" applyFill="1" applyBorder="1" applyAlignment="1">
      <alignment vertical="center" wrapText="1"/>
    </xf>
    <xf numFmtId="0" fontId="55" fillId="0" borderId="8" xfId="0" applyFont="1" applyFill="1" applyBorder="1" applyAlignment="1">
      <alignment horizontal="center" vertical="center" wrapText="1"/>
    </xf>
    <xf numFmtId="0" fontId="55" fillId="0" borderId="8" xfId="7" applyFont="1" applyFill="1" applyBorder="1" applyAlignment="1">
      <alignment horizontal="center" vertical="center" wrapText="1"/>
    </xf>
    <xf numFmtId="164" fontId="56" fillId="0" borderId="8" xfId="1" applyNumberFormat="1" applyFont="1" applyFill="1" applyBorder="1" applyAlignment="1">
      <alignment wrapText="1"/>
    </xf>
    <xf numFmtId="164" fontId="55" fillId="0" borderId="8" xfId="1" applyNumberFormat="1" applyFont="1" applyFill="1" applyBorder="1" applyAlignment="1">
      <alignment wrapText="1"/>
    </xf>
    <xf numFmtId="0" fontId="55" fillId="0" borderId="7" xfId="0" applyFont="1" applyFill="1" applyBorder="1" applyAlignment="1">
      <alignment horizontal="center" vertical="center" wrapText="1"/>
    </xf>
    <xf numFmtId="0" fontId="55" fillId="0" borderId="2" xfId="0" applyFont="1" applyFill="1" applyBorder="1" applyAlignment="1">
      <alignment horizontal="center" vertical="center"/>
    </xf>
    <xf numFmtId="0" fontId="63" fillId="0" borderId="2" xfId="0" applyFont="1" applyFill="1" applyBorder="1"/>
    <xf numFmtId="0" fontId="63" fillId="0" borderId="3" xfId="0" applyFont="1" applyFill="1" applyBorder="1" applyAlignment="1"/>
    <xf numFmtId="0" fontId="55" fillId="0" borderId="3" xfId="0" applyFont="1" applyFill="1" applyBorder="1" applyAlignment="1">
      <alignment horizontal="center"/>
    </xf>
    <xf numFmtId="0" fontId="63" fillId="0" borderId="3" xfId="0" applyFont="1" applyFill="1" applyBorder="1"/>
    <xf numFmtId="164" fontId="63" fillId="0" borderId="3" xfId="1" applyNumberFormat="1" applyFont="1" applyFill="1" applyBorder="1"/>
    <xf numFmtId="164" fontId="63" fillId="0" borderId="2" xfId="1" applyNumberFormat="1" applyFont="1" applyFill="1" applyBorder="1" applyAlignment="1">
      <alignment horizontal="right" vertical="center"/>
    </xf>
    <xf numFmtId="164" fontId="56" fillId="0" borderId="3" xfId="1" applyNumberFormat="1" applyFont="1" applyFill="1" applyBorder="1" applyAlignment="1">
      <alignment vertical="center"/>
    </xf>
    <xf numFmtId="164" fontId="55" fillId="0" borderId="3" xfId="1" applyNumberFormat="1" applyFont="1" applyFill="1" applyBorder="1" applyAlignment="1">
      <alignment horizontal="right" vertical="center"/>
    </xf>
    <xf numFmtId="0" fontId="13" fillId="0" borderId="2" xfId="0" applyFont="1" applyFill="1" applyBorder="1"/>
    <xf numFmtId="0" fontId="13" fillId="0" borderId="2" xfId="0" applyFont="1" applyFill="1" applyBorder="1" applyAlignment="1">
      <alignment vertical="center" wrapText="1"/>
    </xf>
    <xf numFmtId="0" fontId="55" fillId="0" borderId="0" xfId="0" applyFont="1" applyFill="1" applyBorder="1" applyAlignment="1">
      <alignment horizontal="center" vertical="center"/>
    </xf>
    <xf numFmtId="0" fontId="63" fillId="0" borderId="0" xfId="0" applyFont="1" applyFill="1" applyBorder="1"/>
    <xf numFmtId="0" fontId="63" fillId="0" borderId="0" xfId="0" applyFont="1" applyFill="1" applyBorder="1" applyAlignment="1"/>
    <xf numFmtId="0" fontId="55" fillId="0" borderId="0" xfId="0" applyFont="1" applyFill="1" applyBorder="1" applyAlignment="1">
      <alignment horizontal="center"/>
    </xf>
    <xf numFmtId="164" fontId="63" fillId="0" borderId="0" xfId="1" applyNumberFormat="1" applyFont="1" applyFill="1" applyBorder="1"/>
    <xf numFmtId="164" fontId="56" fillId="0" borderId="0" xfId="1" applyNumberFormat="1" applyFont="1" applyFill="1" applyBorder="1" applyAlignment="1">
      <alignment vertical="center"/>
    </xf>
    <xf numFmtId="164" fontId="55" fillId="0" borderId="0" xfId="1" applyNumberFormat="1" applyFont="1" applyFill="1" applyBorder="1" applyAlignment="1">
      <alignment horizontal="right" vertical="center"/>
    </xf>
    <xf numFmtId="164" fontId="56" fillId="0" borderId="22" xfId="1" applyNumberFormat="1" applyFont="1" applyFill="1" applyBorder="1" applyAlignment="1">
      <alignment wrapText="1"/>
    </xf>
    <xf numFmtId="0" fontId="55" fillId="0" borderId="22" xfId="0" applyFont="1" applyFill="1" applyBorder="1" applyAlignment="1">
      <alignment horizontal="center" vertical="center"/>
    </xf>
    <xf numFmtId="0" fontId="55" fillId="0" borderId="22" xfId="7" applyFont="1" applyFill="1" applyBorder="1" applyAlignment="1">
      <alignment horizontal="center" vertical="center"/>
    </xf>
    <xf numFmtId="0" fontId="55" fillId="0" borderId="22" xfId="7" applyFont="1" applyFill="1" applyBorder="1" applyAlignment="1">
      <alignment vertical="center" wrapText="1"/>
    </xf>
    <xf numFmtId="0" fontId="55" fillId="0" borderId="22" xfId="0" applyFont="1" applyFill="1" applyBorder="1" applyAlignment="1">
      <alignment horizontal="center" vertical="center" wrapText="1"/>
    </xf>
    <xf numFmtId="0" fontId="55" fillId="0" borderId="22" xfId="7" applyFont="1" applyFill="1" applyBorder="1" applyAlignment="1">
      <alignment horizontal="center" vertical="center" wrapText="1"/>
    </xf>
    <xf numFmtId="164" fontId="56" fillId="0" borderId="22" xfId="1" applyNumberFormat="1" applyFont="1" applyFill="1" applyBorder="1" applyAlignment="1">
      <alignment vertical="center" wrapText="1"/>
    </xf>
    <xf numFmtId="0" fontId="55" fillId="0" borderId="14" xfId="0" applyFont="1" applyFill="1" applyBorder="1" applyAlignment="1">
      <alignment horizontal="center" vertical="center"/>
    </xf>
    <xf numFmtId="0" fontId="55" fillId="0" borderId="14" xfId="7" applyFont="1" applyFill="1" applyBorder="1" applyAlignment="1">
      <alignment horizontal="center" vertical="center"/>
    </xf>
    <xf numFmtId="0" fontId="55" fillId="0" borderId="14" xfId="7" applyFont="1" applyFill="1" applyBorder="1" applyAlignment="1">
      <alignment vertical="center" wrapText="1"/>
    </xf>
    <xf numFmtId="0" fontId="55" fillId="0" borderId="14" xfId="0" applyFont="1" applyFill="1" applyBorder="1" applyAlignment="1">
      <alignment horizontal="center" vertical="center" wrapText="1"/>
    </xf>
    <xf numFmtId="0" fontId="55" fillId="0" borderId="14" xfId="7" applyFont="1" applyFill="1" applyBorder="1" applyAlignment="1">
      <alignment horizontal="center" vertical="center" wrapText="1"/>
    </xf>
    <xf numFmtId="164" fontId="56" fillId="0" borderId="14" xfId="1" applyNumberFormat="1" applyFont="1" applyFill="1" applyBorder="1" applyAlignment="1">
      <alignment wrapText="1"/>
    </xf>
    <xf numFmtId="164" fontId="56" fillId="0" borderId="14" xfId="1" applyNumberFormat="1" applyFont="1" applyFill="1" applyBorder="1" applyAlignment="1">
      <alignment vertical="center" wrapText="1"/>
    </xf>
    <xf numFmtId="164" fontId="56" fillId="0" borderId="23" xfId="1" applyNumberFormat="1" applyFont="1" applyFill="1" applyBorder="1" applyAlignment="1">
      <alignment wrapText="1"/>
    </xf>
    <xf numFmtId="164" fontId="56" fillId="0" borderId="23" xfId="1" applyNumberFormat="1" applyFont="1" applyFill="1" applyBorder="1" applyAlignment="1">
      <alignment vertical="center" wrapText="1"/>
    </xf>
    <xf numFmtId="0" fontId="63" fillId="0" borderId="2" xfId="0" applyFont="1" applyFill="1" applyBorder="1" applyAlignment="1"/>
    <xf numFmtId="0" fontId="55" fillId="0" borderId="2" xfId="0" applyFont="1" applyFill="1" applyBorder="1" applyAlignment="1">
      <alignment horizontal="center"/>
    </xf>
    <xf numFmtId="164" fontId="56" fillId="0" borderId="2" xfId="1" applyNumberFormat="1" applyFont="1" applyFill="1" applyBorder="1" applyAlignment="1">
      <alignment wrapText="1"/>
    </xf>
    <xf numFmtId="164" fontId="64" fillId="0" borderId="2" xfId="1" applyNumberFormat="1" applyFont="1" applyFill="1" applyBorder="1" applyAlignment="1">
      <alignment wrapText="1"/>
    </xf>
    <xf numFmtId="164" fontId="56" fillId="0" borderId="13" xfId="1" applyNumberFormat="1" applyFont="1" applyFill="1" applyBorder="1" applyAlignment="1">
      <alignment wrapText="1"/>
    </xf>
    <xf numFmtId="0" fontId="55" fillId="0" borderId="23" xfId="0" applyFont="1" applyFill="1" applyBorder="1" applyAlignment="1">
      <alignment horizontal="center" vertical="center"/>
    </xf>
    <xf numFmtId="0" fontId="55" fillId="0" borderId="23" xfId="7" applyFont="1" applyFill="1" applyBorder="1" applyAlignment="1">
      <alignment horizontal="center" vertical="center"/>
    </xf>
    <xf numFmtId="0" fontId="55" fillId="0" borderId="23" xfId="7" applyFont="1" applyFill="1" applyBorder="1" applyAlignment="1">
      <alignment vertical="center" wrapText="1"/>
    </xf>
    <xf numFmtId="0" fontId="55" fillId="0" borderId="23" xfId="0" applyFont="1" applyFill="1" applyBorder="1" applyAlignment="1">
      <alignment horizontal="center" vertical="center" wrapText="1"/>
    </xf>
    <xf numFmtId="0" fontId="55" fillId="0" borderId="23" xfId="7" applyFont="1" applyFill="1" applyBorder="1" applyAlignment="1">
      <alignment horizontal="center" vertical="center" wrapText="1"/>
    </xf>
    <xf numFmtId="164" fontId="56" fillId="0" borderId="15" xfId="1" applyNumberFormat="1" applyFont="1" applyFill="1" applyBorder="1" applyAlignment="1">
      <alignment wrapText="1"/>
    </xf>
    <xf numFmtId="0" fontId="55" fillId="0" borderId="2" xfId="0" applyFont="1" applyFill="1" applyBorder="1"/>
    <xf numFmtId="164" fontId="63" fillId="0" borderId="2" xfId="1" applyNumberFormat="1" applyFont="1" applyFill="1" applyBorder="1"/>
    <xf numFmtId="164" fontId="56" fillId="0" borderId="2" xfId="1" applyNumberFormat="1" applyFont="1" applyFill="1" applyBorder="1" applyAlignment="1">
      <alignment vertical="center"/>
    </xf>
    <xf numFmtId="164" fontId="55" fillId="0" borderId="2" xfId="1" applyNumberFormat="1" applyFont="1" applyFill="1" applyBorder="1" applyAlignment="1">
      <alignment horizontal="right" vertical="center"/>
    </xf>
    <xf numFmtId="0" fontId="55" fillId="0" borderId="0" xfId="0" applyFont="1" applyFill="1" applyBorder="1"/>
    <xf numFmtId="164" fontId="63" fillId="0" borderId="0" xfId="1" applyNumberFormat="1" applyFont="1" applyFill="1" applyBorder="1" applyAlignment="1">
      <alignment horizontal="right" vertical="center"/>
    </xf>
    <xf numFmtId="0" fontId="13" fillId="0" borderId="0" xfId="0" applyFont="1" applyFill="1" applyBorder="1"/>
    <xf numFmtId="0" fontId="13" fillId="0" borderId="0" xfId="0" applyFont="1" applyFill="1" applyBorder="1" applyAlignment="1">
      <alignment vertical="center" wrapText="1"/>
    </xf>
    <xf numFmtId="0" fontId="55" fillId="0" borderId="5" xfId="20" applyFont="1" applyFill="1" applyBorder="1" applyAlignment="1">
      <alignment horizontal="center" vertical="center" wrapText="1"/>
    </xf>
    <xf numFmtId="0" fontId="55" fillId="0" borderId="5" xfId="7" applyFont="1" applyFill="1" applyBorder="1" applyAlignment="1">
      <alignment wrapText="1"/>
    </xf>
    <xf numFmtId="0" fontId="55" fillId="0" borderId="5" xfId="7" applyFont="1" applyFill="1" applyBorder="1" applyAlignment="1">
      <alignment horizontal="center" wrapText="1"/>
    </xf>
    <xf numFmtId="164" fontId="55" fillId="0" borderId="5" xfId="1" applyNumberFormat="1" applyFont="1" applyFill="1" applyBorder="1" applyAlignment="1">
      <alignment horizontal="center" wrapText="1"/>
    </xf>
    <xf numFmtId="164" fontId="56" fillId="0" borderId="5" xfId="1" applyNumberFormat="1" applyFont="1" applyFill="1" applyBorder="1" applyAlignment="1"/>
    <xf numFmtId="164" fontId="55" fillId="0" borderId="5" xfId="1" applyNumberFormat="1" applyFont="1" applyFill="1" applyBorder="1" applyAlignment="1"/>
    <xf numFmtId="164" fontId="55" fillId="0" borderId="14" xfId="1" applyNumberFormat="1" applyFont="1" applyFill="1" applyBorder="1" applyAlignment="1">
      <alignment wrapText="1"/>
    </xf>
    <xf numFmtId="164" fontId="55" fillId="0" borderId="13" xfId="1" applyNumberFormat="1" applyFont="1" applyFill="1" applyBorder="1" applyAlignment="1">
      <alignment wrapText="1"/>
    </xf>
    <xf numFmtId="164" fontId="55" fillId="0" borderId="14" xfId="1" applyNumberFormat="1" applyFont="1" applyFill="1" applyBorder="1" applyAlignment="1">
      <alignment vertical="center" wrapText="1"/>
    </xf>
    <xf numFmtId="0" fontId="55" fillId="0" borderId="6" xfId="20" applyFont="1" applyFill="1" applyBorder="1" applyAlignment="1">
      <alignment horizontal="center" vertical="center" wrapText="1"/>
    </xf>
    <xf numFmtId="0" fontId="55" fillId="0" borderId="6" xfId="7" applyFont="1" applyFill="1" applyBorder="1" applyAlignment="1">
      <alignment wrapText="1"/>
    </xf>
    <xf numFmtId="0" fontId="55" fillId="0" borderId="6" xfId="7" applyFont="1" applyFill="1" applyBorder="1" applyAlignment="1">
      <alignment horizontal="center" wrapText="1"/>
    </xf>
    <xf numFmtId="164" fontId="55" fillId="0" borderId="6" xfId="1" applyNumberFormat="1" applyFont="1" applyFill="1" applyBorder="1" applyAlignment="1">
      <alignment horizontal="center" wrapText="1"/>
    </xf>
    <xf numFmtId="164" fontId="56" fillId="0" borderId="6" xfId="1" applyNumberFormat="1" applyFont="1" applyFill="1" applyBorder="1" applyAlignment="1"/>
    <xf numFmtId="164" fontId="55" fillId="0" borderId="6" xfId="1" applyNumberFormat="1" applyFont="1" applyFill="1" applyBorder="1" applyAlignment="1"/>
    <xf numFmtId="3" fontId="55" fillId="0" borderId="6" xfId="7" applyNumberFormat="1" applyFont="1" applyFill="1" applyBorder="1" applyAlignment="1">
      <alignment horizontal="center" vertical="center" wrapText="1"/>
    </xf>
    <xf numFmtId="3" fontId="55" fillId="0" borderId="6" xfId="0" applyNumberFormat="1" applyFont="1" applyFill="1" applyBorder="1" applyAlignment="1">
      <alignment vertical="center" wrapText="1"/>
    </xf>
    <xf numFmtId="164" fontId="55" fillId="0" borderId="6" xfId="1" applyNumberFormat="1" applyFont="1" applyFill="1" applyBorder="1" applyAlignment="1">
      <alignment horizontal="right"/>
    </xf>
    <xf numFmtId="3" fontId="55" fillId="0" borderId="7" xfId="7" applyNumberFormat="1" applyFont="1" applyFill="1" applyBorder="1" applyAlignment="1">
      <alignment horizontal="center" vertical="center" wrapText="1"/>
    </xf>
    <xf numFmtId="164" fontId="56" fillId="0" borderId="7" xfId="1" applyNumberFormat="1" applyFont="1" applyFill="1" applyBorder="1" applyAlignment="1"/>
    <xf numFmtId="0" fontId="55" fillId="0" borderId="8" xfId="0" applyFont="1" applyFill="1" applyBorder="1" applyAlignment="1">
      <alignment horizontal="center" vertical="center"/>
    </xf>
    <xf numFmtId="0" fontId="55" fillId="0" borderId="8" xfId="20" applyFont="1" applyFill="1" applyBorder="1" applyAlignment="1">
      <alignment horizontal="center" vertical="center" wrapText="1"/>
    </xf>
    <xf numFmtId="3" fontId="55" fillId="0" borderId="8" xfId="0" applyNumberFormat="1" applyFont="1" applyFill="1" applyBorder="1" applyAlignment="1">
      <alignment vertical="center" wrapText="1"/>
    </xf>
    <xf numFmtId="3" fontId="55" fillId="0" borderId="8" xfId="7" applyNumberFormat="1" applyFont="1" applyFill="1" applyBorder="1" applyAlignment="1">
      <alignment horizontal="center" vertical="center" wrapText="1"/>
    </xf>
    <xf numFmtId="164" fontId="55" fillId="0" borderId="8" xfId="1" applyNumberFormat="1" applyFont="1" applyFill="1" applyBorder="1" applyAlignment="1">
      <alignment horizontal="center" wrapText="1"/>
    </xf>
    <xf numFmtId="164" fontId="56" fillId="0" borderId="8" xfId="1" applyNumberFormat="1" applyFont="1" applyFill="1" applyBorder="1" applyAlignment="1"/>
    <xf numFmtId="164" fontId="55" fillId="0" borderId="8" xfId="1" applyNumberFormat="1" applyFont="1" applyFill="1" applyBorder="1" applyAlignment="1">
      <alignment horizontal="right"/>
    </xf>
    <xf numFmtId="164" fontId="55" fillId="0" borderId="15" xfId="1" applyNumberFormat="1" applyFont="1" applyFill="1" applyBorder="1" applyAlignment="1">
      <alignment wrapText="1"/>
    </xf>
    <xf numFmtId="164" fontId="55" fillId="0" borderId="15" xfId="1" applyNumberFormat="1" applyFont="1" applyFill="1" applyBorder="1" applyAlignment="1">
      <alignment vertical="center" wrapText="1"/>
    </xf>
    <xf numFmtId="164" fontId="55" fillId="0" borderId="2" xfId="1" applyNumberFormat="1" applyFont="1" applyFill="1" applyBorder="1"/>
    <xf numFmtId="164" fontId="55" fillId="0" borderId="2" xfId="1" applyNumberFormat="1" applyFont="1" applyFill="1" applyBorder="1" applyAlignment="1">
      <alignment vertical="center"/>
    </xf>
    <xf numFmtId="164" fontId="55" fillId="0" borderId="0" xfId="1" applyNumberFormat="1" applyFont="1" applyFill="1" applyBorder="1"/>
    <xf numFmtId="164" fontId="55" fillId="0" borderId="0" xfId="1" applyNumberFormat="1" applyFont="1" applyFill="1" applyBorder="1" applyAlignment="1">
      <alignment vertical="center"/>
    </xf>
    <xf numFmtId="164" fontId="65" fillId="0" borderId="0" xfId="1" applyNumberFormat="1" applyFont="1" applyFill="1" applyAlignment="1">
      <alignment horizontal="center"/>
    </xf>
    <xf numFmtId="0" fontId="55" fillId="0" borderId="0" xfId="0" applyFont="1" applyFill="1" applyBorder="1" applyAlignment="1"/>
    <xf numFmtId="164" fontId="55" fillId="0" borderId="0" xfId="1" applyNumberFormat="1" applyFont="1" applyFill="1" applyBorder="1" applyAlignment="1">
      <alignment horizontal="center"/>
    </xf>
    <xf numFmtId="164" fontId="55" fillId="0" borderId="0" xfId="1" applyNumberFormat="1" applyFont="1" applyFill="1" applyAlignment="1">
      <alignment vertical="center"/>
    </xf>
    <xf numFmtId="0" fontId="55" fillId="0" borderId="22" xfId="20" applyFont="1" applyFill="1" applyBorder="1" applyAlignment="1">
      <alignment horizontal="center" vertical="center" wrapText="1"/>
    </xf>
    <xf numFmtId="0" fontId="55" fillId="0" borderId="22" xfId="0" applyFont="1" applyFill="1" applyBorder="1" applyAlignment="1">
      <alignment vertical="center" wrapText="1"/>
    </xf>
    <xf numFmtId="164" fontId="55" fillId="0" borderId="22" xfId="1" applyNumberFormat="1" applyFont="1" applyFill="1" applyBorder="1" applyAlignment="1">
      <alignment horizontal="center" vertical="center"/>
    </xf>
    <xf numFmtId="164" fontId="55" fillId="0" borderId="22" xfId="1" applyNumberFormat="1" applyFont="1" applyFill="1" applyBorder="1" applyAlignment="1">
      <alignment horizontal="center" vertical="center" wrapText="1"/>
    </xf>
    <xf numFmtId="164" fontId="55" fillId="0" borderId="22" xfId="1" applyNumberFormat="1" applyFont="1" applyFill="1" applyBorder="1" applyAlignment="1">
      <alignment horizontal="left" vertical="center" wrapText="1"/>
    </xf>
    <xf numFmtId="164" fontId="55" fillId="0" borderId="22" xfId="1" applyNumberFormat="1" applyFont="1" applyFill="1" applyBorder="1" applyAlignment="1">
      <alignment vertical="center" wrapText="1"/>
    </xf>
    <xf numFmtId="0" fontId="55" fillId="0" borderId="14" xfId="20" applyFont="1" applyFill="1" applyBorder="1" applyAlignment="1">
      <alignment horizontal="center" vertical="center" wrapText="1"/>
    </xf>
    <xf numFmtId="0" fontId="55" fillId="0" borderId="14" xfId="0" applyFont="1" applyFill="1" applyBorder="1" applyAlignment="1">
      <alignment vertical="center" wrapText="1"/>
    </xf>
    <xf numFmtId="164" fontId="55" fillId="0" borderId="14" xfId="1" applyNumberFormat="1" applyFont="1" applyFill="1" applyBorder="1" applyAlignment="1">
      <alignment horizontal="center" vertical="center"/>
    </xf>
    <xf numFmtId="164" fontId="55" fillId="0" borderId="14" xfId="1" applyNumberFormat="1" applyFont="1" applyFill="1" applyBorder="1" applyAlignment="1">
      <alignment horizontal="center" vertical="center" wrapText="1"/>
    </xf>
    <xf numFmtId="164" fontId="55" fillId="0" borderId="14" xfId="1" applyNumberFormat="1" applyFont="1" applyFill="1" applyBorder="1" applyAlignment="1">
      <alignment horizontal="left" vertical="center" wrapText="1"/>
    </xf>
    <xf numFmtId="164" fontId="56" fillId="0" borderId="14" xfId="1" applyNumberFormat="1" applyFont="1" applyFill="1" applyBorder="1" applyAlignment="1"/>
    <xf numFmtId="164" fontId="55" fillId="0" borderId="14" xfId="1" applyNumberFormat="1" applyFont="1" applyFill="1" applyBorder="1" applyAlignment="1"/>
    <xf numFmtId="0" fontId="55" fillId="0" borderId="14" xfId="19" applyFont="1" applyFill="1" applyBorder="1" applyAlignment="1">
      <alignment vertical="center" wrapText="1"/>
    </xf>
    <xf numFmtId="164" fontId="55" fillId="0" borderId="14" xfId="33" applyNumberFormat="1" applyFont="1" applyFill="1" applyBorder="1" applyAlignment="1">
      <alignment horizontal="center" vertical="center"/>
    </xf>
    <xf numFmtId="0" fontId="55" fillId="0" borderId="14" xfId="10" applyFont="1" applyFill="1" applyBorder="1" applyAlignment="1">
      <alignment vertical="center" wrapText="1"/>
    </xf>
    <xf numFmtId="3" fontId="55" fillId="0" borderId="14" xfId="0" applyNumberFormat="1" applyFont="1" applyFill="1" applyBorder="1" applyAlignment="1">
      <alignment horizontal="center" wrapText="1"/>
    </xf>
    <xf numFmtId="0" fontId="55" fillId="0" borderId="14" xfId="34" applyFont="1" applyFill="1" applyBorder="1" applyAlignment="1">
      <alignment vertical="center" wrapText="1"/>
    </xf>
    <xf numFmtId="0" fontId="55" fillId="0" borderId="14" xfId="18" applyFont="1" applyFill="1" applyBorder="1" applyAlignment="1">
      <alignment vertical="center" wrapText="1"/>
    </xf>
    <xf numFmtId="0" fontId="55" fillId="0" borderId="14" xfId="0" applyFont="1" applyFill="1" applyBorder="1" applyAlignment="1" applyProtection="1">
      <alignment vertical="center" wrapText="1"/>
      <protection locked="0"/>
    </xf>
    <xf numFmtId="0" fontId="55" fillId="3" borderId="14" xfId="0" applyFont="1" applyFill="1" applyBorder="1" applyAlignment="1">
      <alignment horizontal="center" vertical="center"/>
    </xf>
    <xf numFmtId="0" fontId="55" fillId="3" borderId="14" xfId="20" applyFont="1" applyFill="1" applyBorder="1" applyAlignment="1">
      <alignment horizontal="center" vertical="center" wrapText="1"/>
    </xf>
    <xf numFmtId="0" fontId="55" fillId="3" borderId="14" xfId="0" applyFont="1" applyFill="1" applyBorder="1" applyAlignment="1" applyProtection="1">
      <alignment vertical="center" wrapText="1"/>
      <protection locked="0"/>
    </xf>
    <xf numFmtId="0" fontId="55" fillId="3" borderId="14" xfId="0" applyFont="1" applyFill="1" applyBorder="1" applyAlignment="1">
      <alignment horizontal="center" vertical="center" wrapText="1"/>
    </xf>
    <xf numFmtId="3" fontId="55" fillId="3" borderId="14" xfId="0" applyNumberFormat="1" applyFont="1" applyFill="1" applyBorder="1" applyAlignment="1">
      <alignment horizontal="center" wrapText="1"/>
    </xf>
    <xf numFmtId="164" fontId="56" fillId="3" borderId="14" xfId="1" applyNumberFormat="1" applyFont="1" applyFill="1" applyBorder="1" applyAlignment="1">
      <alignment wrapText="1"/>
    </xf>
    <xf numFmtId="164" fontId="55" fillId="3" borderId="14" xfId="1" applyNumberFormat="1" applyFont="1" applyFill="1" applyBorder="1" applyAlignment="1"/>
    <xf numFmtId="164" fontId="55" fillId="3" borderId="14" xfId="1" applyNumberFormat="1" applyFont="1" applyFill="1" applyBorder="1" applyAlignment="1">
      <alignment wrapText="1"/>
    </xf>
    <xf numFmtId="0" fontId="13" fillId="3" borderId="0" xfId="0" applyFont="1" applyFill="1"/>
    <xf numFmtId="0" fontId="55" fillId="3" borderId="14" xfId="0" applyFont="1" applyFill="1" applyBorder="1" applyAlignment="1" applyProtection="1">
      <alignment vertical="top" wrapText="1"/>
      <protection locked="0"/>
    </xf>
    <xf numFmtId="0" fontId="55" fillId="3" borderId="23" xfId="0" applyFont="1" applyFill="1" applyBorder="1" applyAlignment="1">
      <alignment horizontal="center" vertical="center"/>
    </xf>
    <xf numFmtId="0" fontId="55" fillId="3" borderId="23" xfId="20" applyFont="1" applyFill="1" applyBorder="1" applyAlignment="1">
      <alignment horizontal="center" vertical="center" wrapText="1"/>
    </xf>
    <xf numFmtId="0" fontId="55" fillId="3" borderId="23" xfId="0" applyFont="1" applyFill="1" applyBorder="1" applyAlignment="1" applyProtection="1">
      <alignment vertical="top" wrapText="1"/>
      <protection locked="0"/>
    </xf>
    <xf numFmtId="0" fontId="55" fillId="3" borderId="23" xfId="0" applyFont="1" applyFill="1" applyBorder="1" applyAlignment="1">
      <alignment horizontal="center" vertical="center" wrapText="1"/>
    </xf>
    <xf numFmtId="3" fontId="55" fillId="3" borderId="23" xfId="0" applyNumberFormat="1" applyFont="1" applyFill="1" applyBorder="1" applyAlignment="1">
      <alignment horizontal="center" wrapText="1"/>
    </xf>
    <xf numFmtId="164" fontId="55" fillId="0" borderId="23" xfId="1" applyNumberFormat="1" applyFont="1" applyFill="1" applyBorder="1" applyAlignment="1">
      <alignment horizontal="center" vertical="center"/>
    </xf>
    <xf numFmtId="164" fontId="56" fillId="3" borderId="23" xfId="1" applyNumberFormat="1" applyFont="1" applyFill="1" applyBorder="1" applyAlignment="1">
      <alignment wrapText="1"/>
    </xf>
    <xf numFmtId="164" fontId="55" fillId="3" borderId="23" xfId="1" applyNumberFormat="1" applyFont="1" applyFill="1" applyBorder="1" applyAlignment="1"/>
    <xf numFmtId="164" fontId="55" fillId="3" borderId="23" xfId="1" applyNumberFormat="1" applyFont="1" applyFill="1" applyBorder="1" applyAlignment="1">
      <alignment wrapText="1"/>
    </xf>
    <xf numFmtId="164" fontId="55" fillId="0" borderId="23" xfId="1" applyNumberFormat="1" applyFont="1" applyFill="1" applyBorder="1" applyAlignment="1">
      <alignment wrapText="1"/>
    </xf>
    <xf numFmtId="164" fontId="55" fillId="0" borderId="23" xfId="1" applyNumberFormat="1" applyFont="1" applyFill="1" applyBorder="1" applyAlignment="1">
      <alignment vertical="center" wrapText="1"/>
    </xf>
    <xf numFmtId="0" fontId="55" fillId="3" borderId="2" xfId="0" applyFont="1" applyFill="1" applyBorder="1" applyAlignment="1">
      <alignment horizontal="center" vertical="center"/>
    </xf>
    <xf numFmtId="0" fontId="55" fillId="3" borderId="2" xfId="0" applyFont="1" applyFill="1" applyBorder="1"/>
    <xf numFmtId="0" fontId="55" fillId="3" borderId="2" xfId="0" applyFont="1" applyFill="1" applyBorder="1" applyAlignment="1"/>
    <xf numFmtId="0" fontId="55" fillId="3" borderId="2" xfId="0" applyFont="1" applyFill="1" applyBorder="1" applyAlignment="1">
      <alignment horizontal="center"/>
    </xf>
    <xf numFmtId="164" fontId="55" fillId="3" borderId="3" xfId="1" applyNumberFormat="1" applyFont="1" applyFill="1" applyBorder="1" applyAlignment="1">
      <alignment horizontal="center"/>
    </xf>
    <xf numFmtId="164" fontId="63" fillId="3" borderId="3" xfId="1" applyNumberFormat="1" applyFont="1" applyFill="1" applyBorder="1"/>
    <xf numFmtId="164" fontId="56" fillId="3" borderId="3" xfId="1" applyNumberFormat="1" applyFont="1" applyFill="1" applyBorder="1" applyAlignment="1"/>
    <xf numFmtId="164" fontId="55" fillId="3" borderId="3" xfId="1" applyNumberFormat="1" applyFont="1" applyFill="1" applyBorder="1" applyAlignment="1">
      <alignment vertical="center"/>
    </xf>
    <xf numFmtId="164" fontId="63" fillId="3" borderId="2" xfId="1" applyNumberFormat="1" applyFont="1" applyFill="1" applyBorder="1"/>
    <xf numFmtId="0" fontId="13" fillId="3" borderId="2" xfId="0" applyFont="1" applyFill="1" applyBorder="1"/>
    <xf numFmtId="0" fontId="13" fillId="3" borderId="2" xfId="0" applyFont="1" applyFill="1" applyBorder="1" applyAlignment="1">
      <alignment vertical="center" wrapText="1"/>
    </xf>
    <xf numFmtId="164" fontId="56" fillId="0" borderId="0" xfId="1" applyNumberFormat="1" applyFont="1" applyFill="1" applyBorder="1" applyAlignment="1"/>
    <xf numFmtId="164" fontId="67" fillId="0" borderId="0" xfId="1" applyNumberFormat="1" applyFont="1" applyFill="1" applyAlignment="1">
      <alignment horizontal="center"/>
    </xf>
    <xf numFmtId="0" fontId="55" fillId="0" borderId="0" xfId="31" applyFont="1" applyFill="1" applyBorder="1" applyAlignment="1">
      <alignment horizontal="center"/>
    </xf>
    <xf numFmtId="0" fontId="55" fillId="0" borderId="0" xfId="31" applyFont="1" applyFill="1" applyBorder="1" applyAlignment="1"/>
    <xf numFmtId="0" fontId="55" fillId="0" borderId="5" xfId="0" applyFont="1" applyFill="1" applyBorder="1" applyAlignment="1">
      <alignment horizontal="center"/>
    </xf>
    <xf numFmtId="0" fontId="55" fillId="0" borderId="22" xfId="33" applyFont="1" applyFill="1" applyBorder="1" applyAlignment="1">
      <alignment vertical="center" wrapText="1"/>
    </xf>
    <xf numFmtId="164" fontId="55" fillId="0" borderId="22" xfId="33" applyNumberFormat="1" applyFont="1" applyFill="1" applyBorder="1" applyAlignment="1">
      <alignment horizontal="center" vertical="center" wrapText="1"/>
    </xf>
    <xf numFmtId="164" fontId="56" fillId="0" borderId="22" xfId="1" applyNumberFormat="1" applyFont="1" applyFill="1" applyBorder="1" applyAlignment="1"/>
    <xf numFmtId="164" fontId="55" fillId="0" borderId="22" xfId="1" applyNumberFormat="1" applyFont="1" applyFill="1" applyBorder="1" applyAlignment="1"/>
    <xf numFmtId="164" fontId="55" fillId="0" borderId="22" xfId="1" applyNumberFormat="1" applyFont="1" applyFill="1" applyBorder="1" applyAlignment="1">
      <alignment wrapText="1"/>
    </xf>
    <xf numFmtId="0" fontId="55" fillId="0" borderId="6" xfId="0" applyFont="1" applyFill="1" applyBorder="1" applyAlignment="1">
      <alignment horizontal="center"/>
    </xf>
    <xf numFmtId="0" fontId="55" fillId="0" borderId="14" xfId="33" applyFont="1" applyFill="1" applyBorder="1" applyAlignment="1">
      <alignment vertical="center" wrapText="1"/>
    </xf>
    <xf numFmtId="164" fontId="55" fillId="0" borderId="14" xfId="33" applyNumberFormat="1" applyFont="1" applyFill="1" applyBorder="1" applyAlignment="1">
      <alignment horizontal="center" vertical="center" wrapText="1"/>
    </xf>
    <xf numFmtId="49" fontId="55" fillId="0" borderId="14" xfId="0" applyNumberFormat="1" applyFont="1" applyFill="1" applyBorder="1" applyAlignment="1"/>
    <xf numFmtId="0" fontId="55" fillId="0" borderId="14" xfId="0" applyFont="1" applyFill="1" applyBorder="1" applyAlignment="1">
      <alignment vertical="top" wrapText="1"/>
    </xf>
    <xf numFmtId="3" fontId="55" fillId="0" borderId="14" xfId="0" applyNumberFormat="1" applyFont="1" applyFill="1" applyBorder="1" applyAlignment="1">
      <alignment vertical="center" wrapText="1"/>
    </xf>
    <xf numFmtId="43" fontId="55" fillId="0" borderId="14" xfId="1" applyFont="1" applyFill="1" applyBorder="1" applyAlignment="1">
      <alignment horizontal="center"/>
    </xf>
    <xf numFmtId="0" fontId="55" fillId="0" borderId="14" xfId="0" applyFont="1" applyFill="1" applyBorder="1" applyAlignment="1">
      <alignment wrapText="1"/>
    </xf>
    <xf numFmtId="0" fontId="55" fillId="0" borderId="8" xfId="0" applyFont="1" applyFill="1" applyBorder="1" applyAlignment="1">
      <alignment horizontal="center"/>
    </xf>
    <xf numFmtId="0" fontId="55" fillId="0" borderId="23" xfId="0" applyFont="1" applyFill="1" applyBorder="1" applyAlignment="1">
      <alignment vertical="center" wrapText="1"/>
    </xf>
    <xf numFmtId="164" fontId="55" fillId="0" borderId="23" xfId="33" applyNumberFormat="1" applyFont="1" applyFill="1" applyBorder="1" applyAlignment="1">
      <alignment horizontal="center" vertical="center" wrapText="1"/>
    </xf>
    <xf numFmtId="164" fontId="55" fillId="0" borderId="23" xfId="1" applyNumberFormat="1" applyFont="1" applyFill="1" applyBorder="1" applyAlignment="1">
      <alignment horizontal="center" vertical="center" wrapText="1"/>
    </xf>
    <xf numFmtId="164" fontId="55" fillId="0" borderId="23" xfId="1" applyNumberFormat="1" applyFont="1" applyFill="1" applyBorder="1" applyAlignment="1"/>
    <xf numFmtId="0" fontId="55" fillId="0" borderId="23" xfId="33" applyFont="1" applyFill="1" applyBorder="1" applyAlignment="1">
      <alignment vertical="center" wrapText="1"/>
    </xf>
    <xf numFmtId="164" fontId="56" fillId="0" borderId="2" xfId="1" applyNumberFormat="1" applyFont="1" applyFill="1" applyBorder="1" applyAlignment="1"/>
    <xf numFmtId="164" fontId="33" fillId="0" borderId="2" xfId="1" applyNumberFormat="1" applyFont="1" applyFill="1" applyBorder="1" applyAlignment="1">
      <alignment vertical="center"/>
    </xf>
    <xf numFmtId="0" fontId="33" fillId="0" borderId="2" xfId="0" applyFont="1" applyFill="1" applyBorder="1" applyAlignment="1">
      <alignment vertical="center"/>
    </xf>
    <xf numFmtId="164" fontId="56" fillId="0" borderId="1" xfId="1" applyNumberFormat="1" applyFont="1" applyFill="1" applyBorder="1" applyAlignment="1">
      <alignment vertical="center" wrapText="1"/>
    </xf>
    <xf numFmtId="164" fontId="55" fillId="0" borderId="1" xfId="1" applyNumberFormat="1" applyFont="1" applyFill="1" applyBorder="1" applyAlignment="1">
      <alignment horizontal="center" vertical="center" wrapText="1"/>
    </xf>
    <xf numFmtId="164" fontId="55" fillId="0" borderId="0" xfId="1" applyNumberFormat="1" applyFont="1" applyFill="1" applyBorder="1" applyAlignment="1">
      <alignment horizontal="center" vertical="center" wrapText="1"/>
    </xf>
    <xf numFmtId="0" fontId="55" fillId="0" borderId="5" xfId="0" applyFont="1" applyFill="1" applyBorder="1" applyAlignment="1">
      <alignment vertical="center" wrapText="1"/>
    </xf>
    <xf numFmtId="0" fontId="55" fillId="0" borderId="5" xfId="20" applyFont="1" applyFill="1" applyBorder="1" applyAlignment="1">
      <alignment vertical="center" wrapText="1"/>
    </xf>
    <xf numFmtId="3" fontId="55" fillId="0" borderId="22" xfId="0" applyNumberFormat="1" applyFont="1" applyFill="1" applyBorder="1" applyAlignment="1">
      <alignment vertical="center" wrapText="1"/>
    </xf>
    <xf numFmtId="3" fontId="55" fillId="0" borderId="40" xfId="0" applyNumberFormat="1" applyFont="1" applyFill="1" applyBorder="1" applyAlignment="1">
      <alignment vertical="center" wrapText="1"/>
    </xf>
    <xf numFmtId="0" fontId="55" fillId="0" borderId="6" xfId="20" applyFont="1" applyFill="1" applyBorder="1" applyAlignment="1">
      <alignment vertical="center" wrapText="1"/>
    </xf>
    <xf numFmtId="3" fontId="55" fillId="0" borderId="41" xfId="0" applyNumberFormat="1" applyFont="1" applyFill="1" applyBorder="1" applyAlignment="1">
      <alignment vertical="center" wrapText="1"/>
    </xf>
    <xf numFmtId="0" fontId="55" fillId="0" borderId="41" xfId="0" applyFont="1" applyFill="1" applyBorder="1" applyAlignment="1">
      <alignment vertical="center" wrapText="1"/>
    </xf>
    <xf numFmtId="0" fontId="55" fillId="0" borderId="46" xfId="0" applyFont="1" applyFill="1" applyBorder="1" applyAlignment="1">
      <alignment vertical="center" wrapText="1"/>
    </xf>
    <xf numFmtId="0" fontId="55" fillId="0" borderId="8" xfId="0" applyFont="1" applyFill="1" applyBorder="1" applyAlignment="1">
      <alignment vertical="center" wrapText="1"/>
    </xf>
    <xf numFmtId="0" fontId="55" fillId="0" borderId="8" xfId="20" applyFont="1" applyFill="1" applyBorder="1" applyAlignment="1">
      <alignment vertical="center" wrapText="1"/>
    </xf>
    <xf numFmtId="0" fontId="55" fillId="0" borderId="47" xfId="0" applyFont="1" applyFill="1" applyBorder="1" applyAlignment="1">
      <alignment vertical="center" wrapText="1"/>
    </xf>
    <xf numFmtId="0" fontId="55" fillId="0" borderId="43" xfId="0" applyFont="1" applyFill="1" applyBorder="1" applyAlignment="1">
      <alignment vertical="center" wrapText="1"/>
    </xf>
    <xf numFmtId="3" fontId="55" fillId="0" borderId="23" xfId="0" applyNumberFormat="1" applyFont="1" applyFill="1" applyBorder="1" applyAlignment="1">
      <alignment vertical="center" wrapText="1"/>
    </xf>
    <xf numFmtId="0" fontId="55" fillId="0" borderId="3" xfId="0" applyFont="1" applyFill="1" applyBorder="1"/>
    <xf numFmtId="164" fontId="55" fillId="0" borderId="3" xfId="1" applyNumberFormat="1" applyFont="1" applyFill="1" applyBorder="1"/>
    <xf numFmtId="164" fontId="63" fillId="0" borderId="2" xfId="1" applyNumberFormat="1" applyFont="1" applyFill="1" applyBorder="1" applyAlignment="1">
      <alignment horizontal="right"/>
    </xf>
    <xf numFmtId="164" fontId="56" fillId="0" borderId="3" xfId="1" applyNumberFormat="1" applyFont="1" applyFill="1" applyBorder="1" applyAlignment="1"/>
    <xf numFmtId="164" fontId="55" fillId="0" borderId="0" xfId="1" applyNumberFormat="1" applyFont="1" applyFill="1" applyBorder="1" applyAlignment="1">
      <alignment horizontal="right"/>
    </xf>
    <xf numFmtId="164" fontId="62" fillId="0" borderId="0" xfId="1" applyNumberFormat="1" applyFont="1" applyFill="1" applyBorder="1" applyAlignment="1">
      <alignment horizontal="center"/>
    </xf>
    <xf numFmtId="0" fontId="55" fillId="0" borderId="5" xfId="31" applyFont="1" applyFill="1" applyBorder="1" applyAlignment="1">
      <alignment horizontal="center" vertical="top" wrapText="1"/>
    </xf>
    <xf numFmtId="0" fontId="55" fillId="0" borderId="5" xfId="31" applyFont="1" applyFill="1" applyBorder="1" applyAlignment="1">
      <alignment vertical="top" wrapText="1"/>
    </xf>
    <xf numFmtId="0" fontId="68" fillId="0" borderId="5" xfId="0" applyFont="1" applyFill="1" applyBorder="1" applyAlignment="1">
      <alignment horizontal="center" vertical="top" wrapText="1"/>
    </xf>
    <xf numFmtId="0" fontId="55" fillId="0" borderId="5" xfId="0" applyFont="1" applyFill="1" applyBorder="1" applyAlignment="1">
      <alignment horizontal="center" vertical="top" wrapText="1"/>
    </xf>
    <xf numFmtId="164" fontId="55" fillId="0" borderId="13" xfId="1" applyNumberFormat="1" applyFont="1" applyFill="1" applyBorder="1" applyAlignment="1">
      <alignment horizontal="right" wrapText="1"/>
    </xf>
    <xf numFmtId="3" fontId="55" fillId="0" borderId="13" xfId="1" applyNumberFormat="1" applyFont="1" applyFill="1" applyBorder="1" applyAlignment="1">
      <alignment horizontal="right" wrapText="1"/>
    </xf>
    <xf numFmtId="3" fontId="55" fillId="0" borderId="13" xfId="1" applyNumberFormat="1" applyFont="1" applyFill="1" applyBorder="1" applyAlignment="1">
      <alignment vertical="center" wrapText="1"/>
    </xf>
    <xf numFmtId="0" fontId="55" fillId="0" borderId="7" xfId="0" applyFont="1" applyFill="1" applyBorder="1" applyAlignment="1">
      <alignment horizontal="center" vertical="center"/>
    </xf>
    <xf numFmtId="0" fontId="55" fillId="0" borderId="7" xfId="20" applyFont="1" applyFill="1" applyBorder="1" applyAlignment="1">
      <alignment horizontal="center" vertical="center"/>
    </xf>
    <xf numFmtId="0" fontId="55" fillId="0" borderId="6" xfId="31" applyFont="1" applyFill="1" applyBorder="1" applyAlignment="1">
      <alignment vertical="top" wrapText="1"/>
    </xf>
    <xf numFmtId="0" fontId="68" fillId="0" borderId="6" xfId="0" applyFont="1" applyFill="1" applyBorder="1" applyAlignment="1">
      <alignment horizontal="center" vertical="top" wrapText="1"/>
    </xf>
    <xf numFmtId="0" fontId="55" fillId="0" borderId="6" xfId="0" applyFont="1" applyFill="1" applyBorder="1" applyAlignment="1">
      <alignment horizontal="center" vertical="top" wrapText="1"/>
    </xf>
    <xf numFmtId="164" fontId="55" fillId="0" borderId="14" xfId="1" applyNumberFormat="1" applyFont="1" applyFill="1" applyBorder="1" applyAlignment="1">
      <alignment horizontal="right" wrapText="1"/>
    </xf>
    <xf numFmtId="3" fontId="55" fillId="0" borderId="14" xfId="1" applyNumberFormat="1" applyFont="1" applyFill="1" applyBorder="1" applyAlignment="1">
      <alignment horizontal="right" wrapText="1"/>
    </xf>
    <xf numFmtId="3" fontId="55" fillId="0" borderId="14" xfId="1" applyNumberFormat="1" applyFont="1" applyFill="1" applyBorder="1" applyAlignment="1">
      <alignment vertical="center" wrapText="1"/>
    </xf>
    <xf numFmtId="0" fontId="55" fillId="0" borderId="6" xfId="20" applyFont="1" applyFill="1" applyBorder="1" applyAlignment="1">
      <alignment horizontal="center" vertical="center"/>
    </xf>
    <xf numFmtId="0" fontId="55" fillId="0" borderId="7" xfId="31" applyFont="1" applyFill="1" applyBorder="1" applyAlignment="1">
      <alignment vertical="top" wrapText="1"/>
    </xf>
    <xf numFmtId="3" fontId="55" fillId="0" borderId="6" xfId="31" applyNumberFormat="1" applyFont="1" applyFill="1" applyBorder="1" applyAlignment="1">
      <alignment vertical="center" wrapText="1"/>
    </xf>
    <xf numFmtId="0" fontId="68" fillId="0" borderId="6" xfId="31" applyFont="1" applyFill="1" applyBorder="1" applyAlignment="1">
      <alignment horizontal="center" vertical="top" wrapText="1"/>
    </xf>
    <xf numFmtId="0" fontId="55" fillId="0" borderId="6" xfId="31" applyFont="1" applyFill="1" applyBorder="1" applyAlignment="1">
      <alignment horizontal="center" vertical="top" wrapText="1"/>
    </xf>
    <xf numFmtId="0" fontId="68" fillId="0" borderId="10" xfId="0" applyFont="1" applyFill="1" applyBorder="1" applyAlignment="1">
      <alignment horizontal="center" vertical="top" wrapText="1"/>
    </xf>
    <xf numFmtId="0" fontId="69" fillId="0" borderId="6" xfId="0" applyFont="1" applyFill="1" applyBorder="1"/>
    <xf numFmtId="174" fontId="69" fillId="0" borderId="6" xfId="3" applyNumberFormat="1" applyFont="1" applyFill="1" applyBorder="1" applyAlignment="1">
      <alignment horizontal="center"/>
    </xf>
    <xf numFmtId="0" fontId="55" fillId="0" borderId="4" xfId="0" applyFont="1" applyFill="1" applyBorder="1" applyAlignment="1">
      <alignment horizontal="center" vertical="center"/>
    </xf>
    <xf numFmtId="0" fontId="55" fillId="0" borderId="4" xfId="20" applyFont="1" applyFill="1" applyBorder="1" applyAlignment="1">
      <alignment horizontal="center" vertical="center"/>
    </xf>
    <xf numFmtId="0" fontId="69" fillId="0" borderId="8" xfId="0" applyFont="1" applyFill="1" applyBorder="1"/>
    <xf numFmtId="174" fontId="69" fillId="0" borderId="8" xfId="3" applyNumberFormat="1" applyFont="1" applyFill="1" applyBorder="1" applyAlignment="1">
      <alignment horizontal="center"/>
    </xf>
    <xf numFmtId="164" fontId="55" fillId="0" borderId="23" xfId="1" applyNumberFormat="1" applyFont="1" applyFill="1" applyBorder="1" applyAlignment="1">
      <alignment horizontal="right" wrapText="1"/>
    </xf>
    <xf numFmtId="3" fontId="55" fillId="0" borderId="15" xfId="1" applyNumberFormat="1" applyFont="1" applyFill="1" applyBorder="1" applyAlignment="1">
      <alignment horizontal="right" wrapText="1"/>
    </xf>
    <xf numFmtId="3" fontId="55" fillId="0" borderId="15" xfId="1" applyNumberFormat="1" applyFont="1" applyFill="1" applyBorder="1" applyAlignment="1">
      <alignment vertical="center" wrapText="1"/>
    </xf>
    <xf numFmtId="0" fontId="63" fillId="0" borderId="2" xfId="0" applyFont="1" applyFill="1" applyBorder="1" applyAlignment="1">
      <alignment horizontal="center"/>
    </xf>
    <xf numFmtId="164" fontId="55" fillId="0" borderId="3" xfId="1" applyNumberFormat="1" applyFont="1" applyFill="1" applyBorder="1" applyAlignment="1">
      <alignment horizontal="center"/>
    </xf>
    <xf numFmtId="164" fontId="63" fillId="0" borderId="3" xfId="1" applyNumberFormat="1" applyFont="1" applyFill="1" applyBorder="1" applyAlignment="1">
      <alignment vertical="center"/>
    </xf>
    <xf numFmtId="164" fontId="55" fillId="0" borderId="3" xfId="1" applyNumberFormat="1" applyFont="1" applyFill="1" applyBorder="1" applyAlignment="1">
      <alignment vertical="center"/>
    </xf>
    <xf numFmtId="164" fontId="63" fillId="0" borderId="2" xfId="1" applyNumberFormat="1" applyFont="1" applyFill="1" applyBorder="1" applyAlignment="1">
      <alignment vertical="center"/>
    </xf>
    <xf numFmtId="0" fontId="55" fillId="0" borderId="22" xfId="20" applyFont="1" applyFill="1" applyBorder="1" applyAlignment="1">
      <alignment horizontal="center" vertical="center"/>
    </xf>
    <xf numFmtId="0" fontId="55" fillId="0" borderId="7" xfId="0" applyFont="1" applyFill="1" applyBorder="1" applyAlignment="1">
      <alignment vertical="center" wrapText="1"/>
    </xf>
    <xf numFmtId="164" fontId="55" fillId="0" borderId="4" xfId="1" applyNumberFormat="1" applyFont="1" applyFill="1" applyBorder="1" applyAlignment="1">
      <alignment horizontal="center" vertical="center" wrapText="1"/>
    </xf>
    <xf numFmtId="164" fontId="55" fillId="0" borderId="4" xfId="1" applyNumberFormat="1" applyFont="1" applyFill="1" applyBorder="1" applyAlignment="1">
      <alignment vertical="center" wrapText="1"/>
    </xf>
    <xf numFmtId="0" fontId="55" fillId="0" borderId="14" xfId="20" applyFont="1" applyFill="1" applyBorder="1" applyAlignment="1">
      <alignment horizontal="center" vertical="center"/>
    </xf>
    <xf numFmtId="164" fontId="55" fillId="0" borderId="6" xfId="1" applyNumberFormat="1" applyFont="1" applyFill="1" applyBorder="1" applyAlignment="1">
      <alignment horizontal="center" vertical="center" wrapText="1"/>
    </xf>
    <xf numFmtId="164" fontId="55" fillId="0" borderId="6" xfId="1" applyNumberFormat="1" applyFont="1" applyFill="1" applyBorder="1" applyAlignment="1">
      <alignment vertical="center" wrapText="1"/>
    </xf>
    <xf numFmtId="0" fontId="55" fillId="0" borderId="23" xfId="20" applyFont="1" applyFill="1" applyBorder="1" applyAlignment="1">
      <alignment horizontal="center" vertical="center"/>
    </xf>
    <xf numFmtId="0" fontId="55" fillId="0" borderId="10" xfId="0" applyFont="1" applyFill="1" applyBorder="1" applyAlignment="1">
      <alignment horizontal="center" vertical="center"/>
    </xf>
    <xf numFmtId="164" fontId="55" fillId="0" borderId="7" xfId="1" applyNumberFormat="1" applyFont="1" applyFill="1" applyBorder="1" applyAlignment="1">
      <alignment horizontal="center" vertical="center" wrapText="1"/>
    </xf>
    <xf numFmtId="164" fontId="55" fillId="0" borderId="7" xfId="1" applyNumberFormat="1" applyFont="1" applyFill="1" applyBorder="1" applyAlignment="1">
      <alignment vertical="center" wrapText="1"/>
    </xf>
    <xf numFmtId="164" fontId="55" fillId="0" borderId="2" xfId="1" applyNumberFormat="1" applyFont="1" applyFill="1" applyBorder="1" applyAlignment="1">
      <alignment horizontal="center"/>
    </xf>
    <xf numFmtId="164" fontId="55" fillId="0" borderId="2" xfId="1" applyNumberFormat="1" applyFont="1" applyFill="1" applyBorder="1" applyAlignment="1">
      <alignment wrapText="1"/>
    </xf>
    <xf numFmtId="164" fontId="62" fillId="4" borderId="0" xfId="1" applyNumberFormat="1" applyFont="1" applyFill="1" applyAlignment="1">
      <alignment horizontal="center"/>
    </xf>
    <xf numFmtId="0" fontId="13" fillId="4" borderId="0" xfId="0" applyFont="1" applyFill="1"/>
    <xf numFmtId="0" fontId="13" fillId="4" borderId="0" xfId="0" applyFont="1" applyFill="1" applyAlignment="1">
      <alignment vertical="center" wrapText="1"/>
    </xf>
    <xf numFmtId="0" fontId="55" fillId="4" borderId="0" xfId="0" applyFont="1" applyFill="1" applyBorder="1" applyAlignment="1">
      <alignment horizontal="center" vertical="center"/>
    </xf>
    <xf numFmtId="0" fontId="55" fillId="4" borderId="0" xfId="0" applyFont="1" applyFill="1" applyBorder="1"/>
    <xf numFmtId="0" fontId="63" fillId="4" borderId="0" xfId="0" applyFont="1" applyFill="1" applyBorder="1" applyAlignment="1"/>
    <xf numFmtId="0" fontId="55" fillId="4" borderId="0" xfId="0" applyFont="1" applyFill="1" applyBorder="1" applyAlignment="1">
      <alignment horizontal="center"/>
    </xf>
    <xf numFmtId="164" fontId="55" fillId="4" borderId="0" xfId="1" applyNumberFormat="1" applyFont="1" applyFill="1" applyBorder="1" applyAlignment="1">
      <alignment horizontal="center"/>
    </xf>
    <xf numFmtId="164" fontId="56" fillId="4" borderId="0" xfId="1" applyNumberFormat="1" applyFont="1" applyFill="1" applyBorder="1" applyAlignment="1"/>
    <xf numFmtId="164" fontId="55" fillId="4" borderId="0" xfId="1" applyNumberFormat="1" applyFont="1" applyFill="1" applyBorder="1"/>
    <xf numFmtId="0" fontId="55" fillId="4" borderId="0" xfId="0" applyFont="1" applyFill="1" applyAlignment="1">
      <alignment horizontal="center" vertical="center"/>
    </xf>
    <xf numFmtId="0" fontId="55" fillId="4" borderId="0" xfId="0" applyFont="1" applyFill="1"/>
    <xf numFmtId="0" fontId="55" fillId="4" borderId="0" xfId="0" applyFont="1" applyFill="1" applyAlignment="1"/>
    <xf numFmtId="164" fontId="55" fillId="4" borderId="0" xfId="1" applyNumberFormat="1" applyFont="1" applyFill="1"/>
    <xf numFmtId="164" fontId="56" fillId="4" borderId="0" xfId="1" applyNumberFormat="1" applyFont="1" applyFill="1" applyAlignment="1"/>
    <xf numFmtId="164" fontId="55" fillId="4" borderId="2" xfId="1" applyNumberFormat="1" applyFont="1" applyFill="1" applyBorder="1" applyAlignment="1">
      <alignment horizontal="center" vertical="center" wrapText="1"/>
    </xf>
    <xf numFmtId="0" fontId="55" fillId="4" borderId="2" xfId="0" applyFont="1" applyFill="1" applyBorder="1" applyAlignment="1">
      <alignment horizontal="center" vertical="center" wrapText="1"/>
    </xf>
    <xf numFmtId="164" fontId="56" fillId="4" borderId="2" xfId="1" applyNumberFormat="1" applyFont="1" applyFill="1" applyBorder="1" applyAlignment="1">
      <alignment vertical="center" wrapText="1"/>
    </xf>
    <xf numFmtId="164" fontId="55" fillId="4" borderId="2" xfId="1" applyNumberFormat="1" applyFont="1" applyFill="1" applyBorder="1" applyAlignment="1">
      <alignment horizontal="center" vertical="center"/>
    </xf>
    <xf numFmtId="164" fontId="55" fillId="4" borderId="0" xfId="1" applyNumberFormat="1" applyFont="1" applyFill="1" applyBorder="1" applyAlignment="1">
      <alignment horizontal="center" vertical="center"/>
    </xf>
    <xf numFmtId="0" fontId="55" fillId="4" borderId="5" xfId="0" applyFont="1" applyFill="1" applyBorder="1" applyAlignment="1">
      <alignment horizontal="center" vertical="center"/>
    </xf>
    <xf numFmtId="3" fontId="55" fillId="4" borderId="5" xfId="20" applyNumberFormat="1" applyFont="1" applyFill="1" applyBorder="1" applyAlignment="1">
      <alignment horizontal="center" vertical="center"/>
    </xf>
    <xf numFmtId="3" fontId="55" fillId="4" borderId="1" xfId="0" applyNumberFormat="1" applyFont="1" applyFill="1" applyBorder="1" applyAlignment="1">
      <alignment vertical="center" wrapText="1"/>
    </xf>
    <xf numFmtId="3" fontId="55" fillId="4" borderId="5" xfId="20" applyNumberFormat="1" applyFont="1" applyFill="1" applyBorder="1" applyAlignment="1">
      <alignment horizontal="center" vertical="center" wrapText="1"/>
    </xf>
    <xf numFmtId="164" fontId="55" fillId="4" borderId="5" xfId="1" applyNumberFormat="1" applyFont="1" applyFill="1" applyBorder="1" applyAlignment="1">
      <alignment horizontal="center" vertical="center" wrapText="1"/>
    </xf>
    <xf numFmtId="164" fontId="56" fillId="4" borderId="5" xfId="1" applyNumberFormat="1" applyFont="1" applyFill="1" applyBorder="1" applyAlignment="1">
      <alignment wrapText="1"/>
    </xf>
    <xf numFmtId="164" fontId="55" fillId="4" borderId="5" xfId="1" applyNumberFormat="1" applyFont="1" applyFill="1" applyBorder="1" applyAlignment="1"/>
    <xf numFmtId="164" fontId="55" fillId="4" borderId="14" xfId="1" applyNumberFormat="1" applyFont="1" applyFill="1" applyBorder="1" applyAlignment="1">
      <alignment wrapText="1"/>
    </xf>
    <xf numFmtId="164" fontId="55" fillId="4" borderId="6" xfId="1" applyNumberFormat="1" applyFont="1" applyFill="1" applyBorder="1" applyAlignment="1">
      <alignment horizontal="center" vertical="center" wrapText="1"/>
    </xf>
    <xf numFmtId="0" fontId="55" fillId="4" borderId="7" xfId="0" applyFont="1" applyFill="1" applyBorder="1" applyAlignment="1">
      <alignment horizontal="center" vertical="center"/>
    </xf>
    <xf numFmtId="3" fontId="55" fillId="4" borderId="6" xfId="20" applyNumberFormat="1" applyFont="1" applyFill="1" applyBorder="1" applyAlignment="1">
      <alignment horizontal="center" vertical="center"/>
    </xf>
    <xf numFmtId="0" fontId="55" fillId="4" borderId="6" xfId="0" applyFont="1" applyFill="1" applyBorder="1" applyAlignment="1">
      <alignment wrapText="1"/>
    </xf>
    <xf numFmtId="3" fontId="55" fillId="4" borderId="6" xfId="20" applyNumberFormat="1" applyFont="1" applyFill="1" applyBorder="1" applyAlignment="1">
      <alignment horizontal="center" vertical="center" wrapText="1"/>
    </xf>
    <xf numFmtId="164" fontId="56" fillId="4" borderId="6" xfId="1" applyNumberFormat="1" applyFont="1" applyFill="1" applyBorder="1" applyAlignment="1">
      <alignment wrapText="1"/>
    </xf>
    <xf numFmtId="164" fontId="55" fillId="4" borderId="6" xfId="1" applyNumberFormat="1" applyFont="1" applyFill="1" applyBorder="1" applyAlignment="1"/>
    <xf numFmtId="0" fontId="55" fillId="4" borderId="6" xfId="0" applyFont="1" applyFill="1" applyBorder="1" applyAlignment="1">
      <alignment horizontal="center" vertical="center"/>
    </xf>
    <xf numFmtId="0" fontId="55" fillId="4" borderId="8" xfId="0" applyFont="1" applyFill="1" applyBorder="1" applyAlignment="1"/>
    <xf numFmtId="3" fontId="55" fillId="4" borderId="8" xfId="20" applyNumberFormat="1" applyFont="1" applyFill="1" applyBorder="1" applyAlignment="1">
      <alignment horizontal="center" vertical="center" wrapText="1"/>
    </xf>
    <xf numFmtId="0" fontId="55" fillId="4" borderId="4" xfId="0" applyFont="1" applyFill="1" applyBorder="1" applyAlignment="1">
      <alignment horizontal="center" vertical="center"/>
    </xf>
    <xf numFmtId="0" fontId="55" fillId="4" borderId="6" xfId="0" applyFont="1" applyFill="1" applyBorder="1" applyAlignment="1"/>
    <xf numFmtId="0" fontId="55" fillId="4" borderId="7" xfId="0" applyFont="1" applyFill="1" applyBorder="1" applyAlignment="1"/>
    <xf numFmtId="3" fontId="55" fillId="4" borderId="7" xfId="20" applyNumberFormat="1" applyFont="1" applyFill="1" applyBorder="1" applyAlignment="1">
      <alignment horizontal="center" vertical="center" wrapText="1"/>
    </xf>
    <xf numFmtId="164" fontId="55" fillId="4" borderId="7" xfId="1" applyNumberFormat="1" applyFont="1" applyFill="1" applyBorder="1" applyAlignment="1">
      <alignment horizontal="center" vertical="center" wrapText="1"/>
    </xf>
    <xf numFmtId="164" fontId="55" fillId="4" borderId="7" xfId="1" applyNumberFormat="1" applyFont="1" applyFill="1" applyBorder="1" applyAlignment="1"/>
    <xf numFmtId="0" fontId="55" fillId="4" borderId="2" xfId="0" applyFont="1" applyFill="1" applyBorder="1" applyAlignment="1">
      <alignment horizontal="center" vertical="center"/>
    </xf>
    <xf numFmtId="0" fontId="55" fillId="4" borderId="2" xfId="0" applyFont="1" applyFill="1" applyBorder="1"/>
    <xf numFmtId="0" fontId="55" fillId="4" borderId="2" xfId="0" applyFont="1" applyFill="1" applyBorder="1" applyAlignment="1"/>
    <xf numFmtId="0" fontId="55" fillId="4" borderId="2" xfId="0" applyFont="1" applyFill="1" applyBorder="1" applyAlignment="1">
      <alignment horizontal="center"/>
    </xf>
    <xf numFmtId="164" fontId="55" fillId="4" borderId="2" xfId="1" applyNumberFormat="1" applyFont="1" applyFill="1" applyBorder="1" applyAlignment="1">
      <alignment horizontal="center"/>
    </xf>
    <xf numFmtId="164" fontId="56" fillId="4" borderId="2" xfId="1" applyNumberFormat="1" applyFont="1" applyFill="1" applyBorder="1" applyAlignment="1"/>
    <xf numFmtId="164" fontId="55" fillId="4" borderId="2" xfId="1" applyNumberFormat="1" applyFont="1" applyFill="1" applyBorder="1" applyAlignment="1">
      <alignment horizontal="right"/>
    </xf>
    <xf numFmtId="164" fontId="63" fillId="4" borderId="2" xfId="1" applyNumberFormat="1" applyFont="1" applyFill="1" applyBorder="1" applyAlignment="1">
      <alignment horizontal="right"/>
    </xf>
    <xf numFmtId="164" fontId="63" fillId="4" borderId="0" xfId="1" applyNumberFormat="1" applyFont="1" applyFill="1" applyBorder="1" applyAlignment="1">
      <alignment horizontal="right"/>
    </xf>
    <xf numFmtId="0" fontId="55" fillId="4" borderId="0" xfId="0" applyFont="1" applyFill="1" applyBorder="1" applyAlignment="1"/>
    <xf numFmtId="164" fontId="55" fillId="4" borderId="0" xfId="1" applyNumberFormat="1" applyFont="1" applyFill="1" applyBorder="1" applyAlignment="1">
      <alignment horizontal="right"/>
    </xf>
    <xf numFmtId="0" fontId="55" fillId="4" borderId="6" xfId="20" applyFont="1" applyFill="1" applyBorder="1" applyAlignment="1">
      <alignment horizontal="center" vertical="center" wrapText="1"/>
    </xf>
    <xf numFmtId="0" fontId="55" fillId="4" borderId="6" xfId="7" applyFont="1" applyFill="1" applyBorder="1" applyAlignment="1">
      <alignment vertical="center" wrapText="1"/>
    </xf>
    <xf numFmtId="0" fontId="55" fillId="4" borderId="6" xfId="7" applyFont="1" applyFill="1" applyBorder="1" applyAlignment="1">
      <alignment horizontal="center" vertical="center" wrapText="1"/>
    </xf>
    <xf numFmtId="164" fontId="55" fillId="4" borderId="14" xfId="1" applyNumberFormat="1" applyFont="1" applyFill="1" applyBorder="1" applyAlignment="1">
      <alignment vertical="center" wrapText="1"/>
    </xf>
    <xf numFmtId="0" fontId="55" fillId="2" borderId="6" xfId="0" applyFont="1" applyFill="1" applyBorder="1" applyAlignment="1">
      <alignment horizontal="center" vertical="center"/>
    </xf>
    <xf numFmtId="0" fontId="55" fillId="2" borderId="6" xfId="20" applyFont="1" applyFill="1" applyBorder="1" applyAlignment="1">
      <alignment horizontal="center" vertical="center" wrapText="1"/>
    </xf>
    <xf numFmtId="0" fontId="55" fillId="2" borderId="6" xfId="7" applyFont="1" applyFill="1" applyBorder="1" applyAlignment="1">
      <alignment vertical="center" wrapText="1"/>
    </xf>
    <xf numFmtId="0" fontId="55" fillId="2" borderId="6" xfId="7" applyFont="1" applyFill="1" applyBorder="1" applyAlignment="1">
      <alignment horizontal="center" vertical="center" wrapText="1"/>
    </xf>
    <xf numFmtId="164" fontId="55" fillId="2" borderId="14" xfId="1" applyNumberFormat="1" applyFont="1" applyFill="1" applyBorder="1" applyAlignment="1">
      <alignment wrapText="1"/>
    </xf>
    <xf numFmtId="164" fontId="55" fillId="2" borderId="14" xfId="1" applyNumberFormat="1" applyFont="1" applyFill="1" applyBorder="1" applyAlignment="1">
      <alignment vertical="center" wrapText="1"/>
    </xf>
    <xf numFmtId="0" fontId="13" fillId="2" borderId="0" xfId="0" applyFont="1" applyFill="1"/>
    <xf numFmtId="164" fontId="55" fillId="0" borderId="1" xfId="1" applyNumberFormat="1" applyFont="1" applyFill="1" applyBorder="1" applyAlignment="1">
      <alignment horizontal="center" vertical="center"/>
    </xf>
    <xf numFmtId="0" fontId="55" fillId="0" borderId="5" xfId="0" applyFont="1" applyFill="1" applyBorder="1" applyAlignment="1">
      <alignment horizontal="center" wrapText="1"/>
    </xf>
    <xf numFmtId="164" fontId="70" fillId="0" borderId="22" xfId="1" applyNumberFormat="1" applyFont="1" applyFill="1" applyBorder="1" applyAlignment="1">
      <alignment horizontal="center" vertical="center" wrapText="1"/>
    </xf>
    <xf numFmtId="3" fontId="70" fillId="0" borderId="22" xfId="0" applyNumberFormat="1" applyFont="1" applyFill="1" applyBorder="1" applyAlignment="1">
      <alignment horizontal="center" vertical="center" wrapText="1"/>
    </xf>
    <xf numFmtId="3" fontId="70" fillId="0" borderId="22" xfId="0" applyNumberFormat="1" applyFont="1" applyFill="1" applyBorder="1" applyAlignment="1">
      <alignment vertical="center" wrapText="1"/>
    </xf>
    <xf numFmtId="0" fontId="55" fillId="0" borderId="6" xfId="0" applyFont="1" applyFill="1" applyBorder="1" applyAlignment="1">
      <alignment horizontal="center" wrapText="1"/>
    </xf>
    <xf numFmtId="164" fontId="70" fillId="0" borderId="14" xfId="1" applyNumberFormat="1" applyFont="1" applyFill="1" applyBorder="1" applyAlignment="1">
      <alignment horizontal="center" vertical="center" wrapText="1"/>
    </xf>
    <xf numFmtId="3" fontId="70" fillId="0" borderId="14" xfId="0" applyNumberFormat="1" applyFont="1" applyFill="1" applyBorder="1" applyAlignment="1">
      <alignment horizontal="center" vertical="center" wrapText="1"/>
    </xf>
    <xf numFmtId="3" fontId="70" fillId="0" borderId="14" xfId="0" applyNumberFormat="1" applyFont="1" applyFill="1" applyBorder="1" applyAlignment="1">
      <alignment vertical="center" wrapText="1"/>
    </xf>
    <xf numFmtId="3" fontId="55" fillId="0" borderId="14" xfId="0" applyNumberFormat="1" applyFont="1" applyFill="1" applyBorder="1" applyAlignment="1">
      <alignment horizontal="center" vertical="center"/>
    </xf>
    <xf numFmtId="0" fontId="55" fillId="0" borderId="8" xfId="0" applyFont="1" applyFill="1" applyBorder="1" applyAlignment="1">
      <alignment horizontal="center" wrapText="1"/>
    </xf>
    <xf numFmtId="0" fontId="55" fillId="0" borderId="12" xfId="0" applyFont="1" applyFill="1" applyBorder="1" applyAlignment="1">
      <alignment vertical="center"/>
    </xf>
    <xf numFmtId="164" fontId="70" fillId="0" borderId="23" xfId="1" applyNumberFormat="1" applyFont="1" applyFill="1" applyBorder="1" applyAlignment="1">
      <alignment horizontal="center" vertical="center" wrapText="1"/>
    </xf>
    <xf numFmtId="164" fontId="56" fillId="0" borderId="23" xfId="1" applyNumberFormat="1" applyFont="1" applyFill="1" applyBorder="1" applyAlignment="1"/>
    <xf numFmtId="164" fontId="55" fillId="0" borderId="15" xfId="1" applyNumberFormat="1" applyFont="1" applyFill="1" applyBorder="1" applyAlignment="1">
      <alignment horizontal="center" vertical="center" wrapText="1"/>
    </xf>
    <xf numFmtId="3" fontId="70" fillId="0" borderId="15" xfId="0" applyNumberFormat="1" applyFont="1" applyFill="1" applyBorder="1" applyAlignment="1">
      <alignment horizontal="center" vertical="center" wrapText="1"/>
    </xf>
    <xf numFmtId="3" fontId="70" fillId="0" borderId="15" xfId="0" applyNumberFormat="1" applyFont="1" applyFill="1" applyBorder="1" applyAlignment="1">
      <alignment vertical="center" wrapText="1"/>
    </xf>
    <xf numFmtId="0" fontId="63" fillId="0" borderId="3" xfId="0" applyFont="1" applyFill="1" applyBorder="1" applyAlignment="1">
      <alignment horizontal="center"/>
    </xf>
    <xf numFmtId="164" fontId="63" fillId="0" borderId="3" xfId="1" applyNumberFormat="1" applyFont="1" applyFill="1" applyBorder="1" applyAlignment="1">
      <alignment horizontal="center"/>
    </xf>
    <xf numFmtId="164" fontId="64" fillId="0" borderId="2" xfId="1" applyNumberFormat="1" applyFont="1" applyFill="1" applyBorder="1" applyAlignment="1"/>
    <xf numFmtId="3" fontId="70" fillId="0" borderId="2" xfId="0" applyNumberFormat="1" applyFont="1" applyFill="1" applyBorder="1" applyAlignment="1">
      <alignment vertical="center" wrapText="1"/>
    </xf>
    <xf numFmtId="164" fontId="67" fillId="0" borderId="0" xfId="1" applyNumberFormat="1" applyFont="1" applyFill="1" applyBorder="1" applyAlignment="1">
      <alignment horizontal="center"/>
    </xf>
    <xf numFmtId="0" fontId="55" fillId="3" borderId="6" xfId="35" applyFont="1" applyFill="1" applyBorder="1" applyAlignment="1">
      <alignment vertical="center" wrapText="1"/>
    </xf>
    <xf numFmtId="0" fontId="55" fillId="0" borderId="6" xfId="35" applyFont="1" applyFill="1" applyBorder="1" applyAlignment="1">
      <alignment horizontal="center" vertical="center" wrapText="1"/>
    </xf>
    <xf numFmtId="164" fontId="55" fillId="0" borderId="22" xfId="1" applyNumberFormat="1" applyFont="1" applyBorder="1" applyAlignment="1">
      <alignment horizontal="right" wrapText="1"/>
    </xf>
    <xf numFmtId="164" fontId="56" fillId="0" borderId="22" xfId="1" applyNumberFormat="1" applyFont="1" applyFill="1" applyBorder="1" applyAlignment="1">
      <alignment vertical="center"/>
    </xf>
    <xf numFmtId="164" fontId="56" fillId="0" borderId="22" xfId="1" applyNumberFormat="1" applyFont="1" applyFill="1" applyBorder="1" applyAlignment="1">
      <alignment horizontal="right" vertical="center"/>
    </xf>
    <xf numFmtId="0" fontId="56" fillId="0" borderId="22" xfId="0" applyFont="1" applyFill="1" applyBorder="1" applyAlignment="1">
      <alignment horizontal="center" vertical="center"/>
    </xf>
    <xf numFmtId="0" fontId="56" fillId="0" borderId="14" xfId="0" applyFont="1" applyFill="1" applyBorder="1" applyAlignment="1">
      <alignment vertical="center" wrapText="1"/>
    </xf>
    <xf numFmtId="164" fontId="55" fillId="0" borderId="14" xfId="1" applyNumberFormat="1" applyFont="1" applyBorder="1" applyAlignment="1">
      <alignment horizontal="right"/>
    </xf>
    <xf numFmtId="164" fontId="56" fillId="0" borderId="14" xfId="1" applyNumberFormat="1" applyFont="1" applyFill="1" applyBorder="1" applyAlignment="1">
      <alignment horizontal="right"/>
    </xf>
    <xf numFmtId="164" fontId="56" fillId="0" borderId="14" xfId="1" applyNumberFormat="1" applyFont="1" applyFill="1" applyBorder="1" applyAlignment="1">
      <alignment horizontal="right" vertical="center"/>
    </xf>
    <xf numFmtId="164" fontId="55" fillId="0" borderId="14" xfId="1" applyNumberFormat="1" applyFont="1" applyFill="1" applyBorder="1" applyAlignment="1">
      <alignment horizontal="right"/>
    </xf>
    <xf numFmtId="0" fontId="56" fillId="0" borderId="14" xfId="0" applyFont="1" applyFill="1" applyBorder="1" applyAlignment="1">
      <alignment horizontal="center"/>
    </xf>
    <xf numFmtId="0" fontId="55" fillId="0" borderId="6" xfId="35" applyFont="1" applyFill="1" applyBorder="1" applyAlignment="1">
      <alignment vertical="center" wrapText="1"/>
    </xf>
    <xf numFmtId="0" fontId="55" fillId="0" borderId="7" xfId="7" applyFont="1" applyFill="1" applyBorder="1" applyAlignment="1">
      <alignment horizontal="center" vertical="center" wrapText="1"/>
    </xf>
    <xf numFmtId="0" fontId="55" fillId="0" borderId="7" xfId="35" applyFont="1" applyFill="1" applyBorder="1" applyAlignment="1">
      <alignment horizontal="center" vertical="center" wrapText="1"/>
    </xf>
    <xf numFmtId="164" fontId="55" fillId="0" borderId="14" xfId="1" applyNumberFormat="1" applyFont="1" applyFill="1" applyBorder="1"/>
    <xf numFmtId="0" fontId="55" fillId="0" borderId="14" xfId="0" applyFont="1" applyFill="1" applyBorder="1" applyAlignment="1">
      <alignment horizontal="center"/>
    </xf>
    <xf numFmtId="0" fontId="55" fillId="0" borderId="14" xfId="0" applyFont="1" applyFill="1" applyBorder="1" applyAlignment="1"/>
    <xf numFmtId="0" fontId="55" fillId="0" borderId="15" xfId="0" applyFont="1" applyFill="1" applyBorder="1" applyAlignment="1"/>
    <xf numFmtId="164" fontId="55" fillId="0" borderId="23" xfId="1" applyNumberFormat="1" applyFont="1" applyBorder="1" applyAlignment="1">
      <alignment horizontal="right"/>
    </xf>
    <xf numFmtId="164" fontId="56" fillId="0" borderId="23" xfId="1" applyNumberFormat="1" applyFont="1" applyFill="1" applyBorder="1" applyAlignment="1">
      <alignment horizontal="right"/>
    </xf>
    <xf numFmtId="164" fontId="55" fillId="0" borderId="23" xfId="1" applyNumberFormat="1" applyFont="1" applyFill="1" applyBorder="1"/>
    <xf numFmtId="0" fontId="56" fillId="0" borderId="15" xfId="0" applyFont="1" applyFill="1" applyBorder="1" applyAlignment="1">
      <alignment horizontal="center"/>
    </xf>
    <xf numFmtId="0" fontId="56" fillId="0" borderId="15" xfId="0" applyFont="1" applyFill="1" applyBorder="1" applyAlignment="1">
      <alignment vertical="center" wrapText="1"/>
    </xf>
    <xf numFmtId="0" fontId="55" fillId="0" borderId="2" xfId="20" applyFont="1" applyFill="1" applyBorder="1" applyAlignment="1">
      <alignment horizontal="center" vertical="center"/>
    </xf>
    <xf numFmtId="0" fontId="55" fillId="0" borderId="2" xfId="7" applyFont="1" applyFill="1" applyBorder="1" applyAlignment="1">
      <alignment horizontal="center" vertical="center" wrapText="1"/>
    </xf>
    <xf numFmtId="0" fontId="55" fillId="0" borderId="2" xfId="35" applyFont="1" applyFill="1" applyBorder="1" applyAlignment="1">
      <alignment horizontal="center" vertical="center" wrapText="1"/>
    </xf>
    <xf numFmtId="164" fontId="55" fillId="0" borderId="3" xfId="1" applyNumberFormat="1" applyFont="1" applyFill="1" applyBorder="1" applyAlignment="1">
      <alignment horizontal="center" vertical="center" wrapText="1"/>
    </xf>
    <xf numFmtId="164" fontId="63" fillId="0" borderId="2" xfId="1" applyNumberFormat="1" applyFont="1" applyFill="1" applyBorder="1" applyAlignment="1">
      <alignment wrapText="1"/>
    </xf>
    <xf numFmtId="164" fontId="55" fillId="0" borderId="3" xfId="1" applyNumberFormat="1" applyFont="1" applyFill="1" applyBorder="1" applyAlignment="1">
      <alignment horizontal="right"/>
    </xf>
    <xf numFmtId="164" fontId="64" fillId="0" borderId="0" xfId="1" applyNumberFormat="1" applyFont="1" applyFill="1" applyBorder="1" applyAlignment="1"/>
    <xf numFmtId="164" fontId="55" fillId="0" borderId="22" xfId="1" applyNumberFormat="1" applyFont="1" applyFill="1" applyBorder="1" applyAlignment="1">
      <alignment horizontal="right" wrapText="1"/>
    </xf>
    <xf numFmtId="164" fontId="56" fillId="0" borderId="14" xfId="1" quotePrefix="1" applyNumberFormat="1" applyFont="1" applyFill="1" applyBorder="1" applyAlignment="1">
      <alignment wrapText="1"/>
    </xf>
    <xf numFmtId="0" fontId="55" fillId="0" borderId="2" xfId="0" applyFont="1" applyFill="1" applyBorder="1" applyAlignment="1">
      <alignment vertical="center"/>
    </xf>
    <xf numFmtId="0" fontId="55" fillId="0" borderId="3" xfId="0" applyFont="1" applyFill="1" applyBorder="1" applyAlignment="1">
      <alignment horizontal="center" vertical="center"/>
    </xf>
    <xf numFmtId="164" fontId="55" fillId="0" borderId="3" xfId="1" applyNumberFormat="1" applyFont="1" applyFill="1" applyBorder="1" applyAlignment="1">
      <alignment horizontal="center" vertical="center"/>
    </xf>
    <xf numFmtId="164" fontId="63" fillId="0" borderId="3" xfId="1" applyNumberFormat="1" applyFont="1" applyFill="1" applyBorder="1" applyAlignment="1">
      <alignment horizontal="right"/>
    </xf>
    <xf numFmtId="164" fontId="55" fillId="0" borderId="25" xfId="1" applyNumberFormat="1" applyFont="1" applyFill="1" applyBorder="1" applyAlignment="1">
      <alignment horizontal="center" vertical="center"/>
    </xf>
    <xf numFmtId="3" fontId="55" fillId="0" borderId="22" xfId="36" applyNumberFormat="1" applyFont="1" applyFill="1" applyBorder="1" applyAlignment="1">
      <alignment vertical="center" wrapText="1"/>
    </xf>
    <xf numFmtId="3" fontId="55" fillId="0" borderId="14" xfId="36" applyNumberFormat="1" applyFont="1" applyFill="1" applyBorder="1" applyAlignment="1">
      <alignment vertical="center" wrapText="1"/>
    </xf>
    <xf numFmtId="3" fontId="55" fillId="0" borderId="14" xfId="36" applyNumberFormat="1" applyFont="1" applyFill="1" applyBorder="1" applyAlignment="1">
      <alignment horizontal="left" vertical="center" wrapText="1"/>
    </xf>
    <xf numFmtId="3" fontId="55" fillId="0" borderId="14" xfId="0" applyNumberFormat="1" applyFont="1" applyFill="1" applyBorder="1" applyAlignment="1">
      <alignment horizontal="left" vertical="center" wrapText="1"/>
    </xf>
    <xf numFmtId="3" fontId="55" fillId="0" borderId="14" xfId="7" applyNumberFormat="1" applyFont="1" applyFill="1" applyBorder="1" applyAlignment="1">
      <alignment horizontal="left" vertical="center" wrapText="1"/>
    </xf>
    <xf numFmtId="0" fontId="55" fillId="0" borderId="14" xfId="0" applyFont="1" applyFill="1" applyBorder="1" applyAlignment="1">
      <alignment vertical="center"/>
    </xf>
    <xf numFmtId="0" fontId="55" fillId="0" borderId="14" xfId="1" applyNumberFormat="1" applyFont="1" applyFill="1" applyBorder="1" applyAlignment="1">
      <alignment horizontal="center" vertical="center" wrapText="1"/>
    </xf>
    <xf numFmtId="0" fontId="55" fillId="0" borderId="14" xfId="37" applyNumberFormat="1" applyFont="1" applyFill="1" applyBorder="1" applyAlignment="1">
      <alignment horizontal="left" vertical="center" wrapText="1"/>
    </xf>
    <xf numFmtId="0" fontId="55" fillId="0" borderId="14" xfId="7" applyNumberFormat="1" applyFont="1" applyFill="1" applyBorder="1" applyAlignment="1">
      <alignment horizontal="left" vertical="center" wrapText="1"/>
    </xf>
    <xf numFmtId="0" fontId="55" fillId="0" borderId="14" xfId="0" applyFont="1" applyFill="1" applyBorder="1" applyAlignment="1">
      <alignment horizontal="left" vertical="center" wrapText="1"/>
    </xf>
    <xf numFmtId="0" fontId="55" fillId="0" borderId="23" xfId="0" applyFont="1" applyFill="1" applyBorder="1" applyAlignment="1">
      <alignment horizontal="left" vertical="center" wrapText="1"/>
    </xf>
    <xf numFmtId="3" fontId="55" fillId="0" borderId="23" xfId="36" applyNumberFormat="1" applyFont="1" applyFill="1" applyBorder="1" applyAlignment="1">
      <alignment vertical="center" wrapText="1"/>
    </xf>
    <xf numFmtId="164" fontId="25" fillId="0" borderId="3" xfId="1" applyNumberFormat="1" applyFont="1" applyFill="1" applyBorder="1"/>
    <xf numFmtId="164" fontId="63" fillId="0" borderId="23" xfId="1" applyNumberFormat="1" applyFont="1" applyFill="1" applyBorder="1" applyAlignment="1">
      <alignment vertical="center" wrapText="1"/>
    </xf>
    <xf numFmtId="164" fontId="28" fillId="0" borderId="3" xfId="1" applyNumberFormat="1" applyFont="1" applyFill="1" applyBorder="1"/>
    <xf numFmtId="0" fontId="72" fillId="0" borderId="3" xfId="0" applyFont="1" applyFill="1" applyBorder="1"/>
    <xf numFmtId="0" fontId="72" fillId="0" borderId="3" xfId="0" applyFont="1" applyFill="1" applyBorder="1" applyAlignment="1">
      <alignment vertical="center" wrapText="1"/>
    </xf>
    <xf numFmtId="0" fontId="55" fillId="0" borderId="5" xfId="20" applyFont="1" applyFill="1" applyBorder="1" applyAlignment="1">
      <alignment horizontal="center" vertical="center"/>
    </xf>
    <xf numFmtId="3" fontId="55" fillId="0" borderId="5" xfId="0" applyNumberFormat="1" applyFont="1" applyFill="1" applyBorder="1"/>
    <xf numFmtId="3" fontId="55" fillId="0" borderId="4" xfId="38" applyNumberFormat="1" applyFont="1" applyFill="1" applyBorder="1" applyAlignment="1">
      <alignment horizontal="center" vertical="center"/>
    </xf>
    <xf numFmtId="3" fontId="55" fillId="0" borderId="4" xfId="39" applyNumberFormat="1" applyFont="1" applyFill="1" applyBorder="1" applyAlignment="1">
      <alignment horizontal="center" vertical="center" wrapText="1"/>
    </xf>
    <xf numFmtId="164" fontId="55" fillId="0" borderId="22" xfId="1" applyNumberFormat="1" applyFont="1" applyFill="1" applyBorder="1"/>
    <xf numFmtId="3" fontId="55" fillId="0" borderId="22" xfId="0" applyNumberFormat="1" applyFont="1" applyFill="1" applyBorder="1"/>
    <xf numFmtId="3" fontId="55" fillId="0" borderId="6" xfId="0" applyNumberFormat="1" applyFont="1" applyFill="1" applyBorder="1"/>
    <xf numFmtId="3" fontId="55" fillId="0" borderId="6" xfId="38" applyNumberFormat="1" applyFont="1" applyFill="1" applyBorder="1" applyAlignment="1">
      <alignment horizontal="center" vertical="center"/>
    </xf>
    <xf numFmtId="3" fontId="55" fillId="0" borderId="6" xfId="39" applyNumberFormat="1" applyFont="1" applyFill="1" applyBorder="1" applyAlignment="1">
      <alignment horizontal="center" vertical="center" wrapText="1"/>
    </xf>
    <xf numFmtId="3" fontId="55" fillId="0" borderId="14" xfId="0" applyNumberFormat="1" applyFont="1" applyFill="1" applyBorder="1"/>
    <xf numFmtId="3" fontId="55" fillId="0" borderId="7" xfId="0" applyNumberFormat="1" applyFont="1" applyFill="1" applyBorder="1"/>
    <xf numFmtId="3" fontId="55" fillId="0" borderId="4" xfId="0" applyNumberFormat="1" applyFont="1" applyFill="1" applyBorder="1"/>
    <xf numFmtId="3" fontId="55" fillId="0" borderId="6" xfId="40" applyNumberFormat="1" applyFont="1" applyFill="1" applyBorder="1" applyAlignment="1">
      <alignment horizontal="left" vertical="center" wrapText="1"/>
    </xf>
    <xf numFmtId="3" fontId="55" fillId="0" borderId="7" xfId="40" applyNumberFormat="1" applyFont="1" applyFill="1" applyBorder="1" applyAlignment="1">
      <alignment horizontal="left" vertical="center" wrapText="1"/>
    </xf>
    <xf numFmtId="3" fontId="55" fillId="0" borderId="7" xfId="38" applyNumberFormat="1" applyFont="1" applyFill="1" applyBorder="1" applyAlignment="1">
      <alignment horizontal="center" vertical="center"/>
    </xf>
    <xf numFmtId="3" fontId="55" fillId="0" borderId="7" xfId="39" applyNumberFormat="1" applyFont="1" applyFill="1" applyBorder="1" applyAlignment="1">
      <alignment horizontal="center" vertical="center" wrapText="1"/>
    </xf>
    <xf numFmtId="0" fontId="55" fillId="0" borderId="3" xfId="20" applyFont="1" applyFill="1" applyBorder="1" applyAlignment="1">
      <alignment horizontal="center" vertical="center"/>
    </xf>
    <xf numFmtId="3" fontId="55" fillId="0" borderId="23" xfId="0" applyNumberFormat="1" applyFont="1" applyFill="1" applyBorder="1"/>
    <xf numFmtId="164" fontId="62" fillId="0" borderId="0" xfId="1" applyNumberFormat="1" applyFont="1" applyFill="1" applyAlignment="1">
      <alignment horizontal="left"/>
    </xf>
    <xf numFmtId="0" fontId="68" fillId="0" borderId="3" xfId="0" applyFont="1" applyFill="1" applyBorder="1" applyAlignment="1">
      <alignment horizontal="left" vertical="top" wrapText="1"/>
    </xf>
    <xf numFmtId="0" fontId="68" fillId="0" borderId="8" xfId="0" applyFont="1" applyFill="1" applyBorder="1" applyAlignment="1">
      <alignment horizontal="center" vertical="top" wrapText="1"/>
    </xf>
    <xf numFmtId="164" fontId="25" fillId="0" borderId="0" xfId="1" applyNumberFormat="1" applyFont="1" applyFill="1" applyAlignment="1">
      <alignment horizontal="left"/>
    </xf>
    <xf numFmtId="0" fontId="72" fillId="0" borderId="0" xfId="0" applyFont="1" applyFill="1"/>
    <xf numFmtId="0" fontId="72" fillId="0" borderId="0" xfId="0" applyFont="1" applyFill="1" applyAlignment="1">
      <alignment vertical="center" wrapText="1"/>
    </xf>
    <xf numFmtId="0" fontId="68" fillId="0" borderId="22" xfId="0" applyFont="1" applyFill="1" applyBorder="1" applyAlignment="1">
      <alignment horizontal="center" vertical="top" wrapText="1"/>
    </xf>
    <xf numFmtId="0" fontId="68" fillId="0" borderId="14" xfId="0" applyFont="1" applyFill="1" applyBorder="1" applyAlignment="1">
      <alignment horizontal="center" vertical="top" wrapText="1"/>
    </xf>
    <xf numFmtId="0" fontId="55" fillId="0" borderId="4" xfId="0" applyFont="1" applyFill="1" applyBorder="1" applyAlignment="1">
      <alignment vertical="center" wrapText="1"/>
    </xf>
    <xf numFmtId="0" fontId="68" fillId="0" borderId="23" xfId="0" applyFont="1" applyFill="1" applyBorder="1" applyAlignment="1">
      <alignment horizontal="center" vertical="top" wrapText="1"/>
    </xf>
    <xf numFmtId="0" fontId="63" fillId="0" borderId="0" xfId="0" applyFont="1" applyFill="1" applyBorder="1" applyAlignment="1">
      <alignment horizontal="center"/>
    </xf>
    <xf numFmtId="164" fontId="63" fillId="0" borderId="0" xfId="1" applyNumberFormat="1" applyFont="1" applyFill="1" applyBorder="1" applyAlignment="1">
      <alignment horizontal="center"/>
    </xf>
    <xf numFmtId="0" fontId="55" fillId="0" borderId="22" xfId="0" applyFont="1" applyFill="1" applyBorder="1" applyAlignment="1">
      <alignment horizontal="left" wrapText="1"/>
    </xf>
    <xf numFmtId="0" fontId="55" fillId="0" borderId="22" xfId="31" applyFont="1" applyFill="1" applyBorder="1" applyAlignment="1">
      <alignment horizontal="center" wrapText="1"/>
    </xf>
    <xf numFmtId="0" fontId="55" fillId="0" borderId="14" xfId="0" applyFont="1" applyFill="1" applyBorder="1" applyAlignment="1">
      <alignment horizontal="left" wrapText="1"/>
    </xf>
    <xf numFmtId="0" fontId="55" fillId="0" borderId="14" xfId="31" applyFont="1" applyFill="1" applyBorder="1" applyAlignment="1">
      <alignment horizontal="center" wrapText="1"/>
    </xf>
    <xf numFmtId="0" fontId="55" fillId="0" borderId="14" xfId="31" applyFont="1" applyFill="1" applyBorder="1" applyAlignment="1">
      <alignment horizontal="left" vertical="center" wrapText="1"/>
    </xf>
    <xf numFmtId="0" fontId="55" fillId="0" borderId="14" xfId="0" applyFont="1" applyFill="1" applyBorder="1" applyAlignment="1">
      <alignment horizontal="center" wrapText="1"/>
    </xf>
    <xf numFmtId="3" fontId="55" fillId="0" borderId="14" xfId="10" applyNumberFormat="1" applyFont="1" applyFill="1" applyBorder="1" applyAlignment="1">
      <alignment horizontal="center" wrapText="1"/>
    </xf>
    <xf numFmtId="0" fontId="55" fillId="0" borderId="23" xfId="0" applyFont="1" applyFill="1" applyBorder="1" applyAlignment="1">
      <alignment horizontal="center" wrapText="1"/>
    </xf>
    <xf numFmtId="0" fontId="55" fillId="0" borderId="23" xfId="0" applyFont="1" applyFill="1" applyBorder="1" applyAlignment="1">
      <alignment wrapText="1"/>
    </xf>
    <xf numFmtId="0" fontId="55" fillId="0" borderId="23" xfId="31" applyFont="1" applyFill="1" applyBorder="1" applyAlignment="1">
      <alignment horizontal="center" wrapText="1"/>
    </xf>
    <xf numFmtId="164" fontId="55" fillId="0" borderId="26" xfId="1" applyNumberFormat="1" applyFont="1" applyFill="1" applyBorder="1" applyAlignment="1">
      <alignment vertical="center"/>
    </xf>
    <xf numFmtId="0" fontId="62" fillId="4" borderId="0" xfId="0" applyFont="1" applyFill="1" applyAlignment="1"/>
    <xf numFmtId="164" fontId="62" fillId="4" borderId="0" xfId="1" applyNumberFormat="1" applyFont="1" applyFill="1" applyAlignment="1"/>
    <xf numFmtId="0" fontId="63" fillId="4" borderId="0" xfId="0" applyFont="1" applyFill="1" applyBorder="1" applyAlignment="1">
      <alignment horizontal="center"/>
    </xf>
    <xf numFmtId="164" fontId="56" fillId="4" borderId="0" xfId="1" applyNumberFormat="1" applyFont="1" applyFill="1" applyBorder="1" applyAlignment="1">
      <alignment vertical="center"/>
    </xf>
    <xf numFmtId="164" fontId="55" fillId="4" borderId="0" xfId="1" applyNumberFormat="1" applyFont="1" applyFill="1" applyBorder="1" applyAlignment="1">
      <alignment vertical="center"/>
    </xf>
    <xf numFmtId="164" fontId="55" fillId="4" borderId="0" xfId="1" applyNumberFormat="1" applyFont="1" applyFill="1" applyBorder="1" applyAlignment="1">
      <alignment horizontal="center" vertical="center" wrapText="1"/>
    </xf>
    <xf numFmtId="164" fontId="55" fillId="4" borderId="48" xfId="1" applyNumberFormat="1" applyFont="1" applyFill="1" applyBorder="1" applyAlignment="1">
      <alignment horizontal="center" vertical="center" wrapText="1"/>
    </xf>
    <xf numFmtId="164" fontId="55" fillId="4" borderId="3" xfId="1" applyNumberFormat="1" applyFont="1" applyFill="1" applyBorder="1" applyAlignment="1">
      <alignment horizontal="center" vertical="center" wrapText="1"/>
    </xf>
    <xf numFmtId="0" fontId="55" fillId="4" borderId="10" xfId="0" applyFont="1" applyFill="1" applyBorder="1" applyAlignment="1">
      <alignment horizontal="center" vertical="center" wrapText="1"/>
    </xf>
    <xf numFmtId="0" fontId="55" fillId="4" borderId="10" xfId="20" applyFont="1" applyFill="1" applyBorder="1" applyAlignment="1">
      <alignment horizontal="center" vertical="center" wrapText="1"/>
    </xf>
    <xf numFmtId="0" fontId="55" fillId="4" borderId="5" xfId="0" applyFont="1" applyFill="1" applyBorder="1" applyAlignment="1">
      <alignment wrapText="1"/>
    </xf>
    <xf numFmtId="0" fontId="55" fillId="4" borderId="27" xfId="0" applyFont="1" applyFill="1" applyBorder="1" applyAlignment="1">
      <alignment horizontal="center" wrapText="1"/>
    </xf>
    <xf numFmtId="0" fontId="55" fillId="4" borderId="49" xfId="20" applyFont="1" applyFill="1" applyBorder="1" applyAlignment="1">
      <alignment horizontal="center" vertical="center" wrapText="1"/>
    </xf>
    <xf numFmtId="164" fontId="55" fillId="4" borderId="49" xfId="1" applyNumberFormat="1" applyFont="1" applyFill="1" applyBorder="1" applyAlignment="1">
      <alignment horizontal="center" vertical="center" wrapText="1"/>
    </xf>
    <xf numFmtId="164" fontId="56" fillId="4" borderId="1" xfId="1" applyNumberFormat="1" applyFont="1" applyFill="1" applyBorder="1" applyAlignment="1">
      <alignment vertical="center" wrapText="1"/>
    </xf>
    <xf numFmtId="164" fontId="55" fillId="4" borderId="6" xfId="1" applyNumberFormat="1" applyFont="1" applyFill="1" applyBorder="1" applyAlignment="1">
      <alignment horizontal="right" vertical="center"/>
    </xf>
    <xf numFmtId="164" fontId="55" fillId="4" borderId="0" xfId="1" applyNumberFormat="1" applyFont="1" applyFill="1" applyBorder="1" applyAlignment="1">
      <alignment wrapText="1"/>
    </xf>
    <xf numFmtId="0" fontId="55" fillId="4" borderId="6" xfId="0" applyFont="1" applyFill="1" applyBorder="1" applyAlignment="1">
      <alignment horizontal="center" vertical="center" wrapText="1"/>
    </xf>
    <xf numFmtId="0" fontId="55" fillId="4" borderId="20" xfId="0" applyFont="1" applyFill="1" applyBorder="1" applyAlignment="1">
      <alignment horizontal="center" wrapText="1"/>
    </xf>
    <xf numFmtId="0" fontId="55" fillId="4" borderId="20" xfId="20" applyFont="1" applyFill="1" applyBorder="1" applyAlignment="1">
      <alignment horizontal="center" vertical="center" wrapText="1"/>
    </xf>
    <xf numFmtId="164" fontId="55" fillId="4" borderId="20" xfId="1" applyNumberFormat="1" applyFont="1" applyFill="1" applyBorder="1" applyAlignment="1">
      <alignment horizontal="center" vertical="center" wrapText="1"/>
    </xf>
    <xf numFmtId="164" fontId="56" fillId="4" borderId="6" xfId="1" applyNumberFormat="1" applyFont="1" applyFill="1" applyBorder="1" applyAlignment="1">
      <alignment vertical="center" wrapText="1"/>
    </xf>
    <xf numFmtId="0" fontId="55" fillId="4" borderId="50" xfId="0" applyFont="1" applyFill="1" applyBorder="1" applyAlignment="1">
      <alignment horizontal="center" wrapText="1"/>
    </xf>
    <xf numFmtId="0" fontId="55" fillId="4" borderId="20" xfId="7" applyFont="1" applyFill="1" applyBorder="1" applyAlignment="1">
      <alignment horizontal="center" vertical="center"/>
    </xf>
    <xf numFmtId="164" fontId="55" fillId="4" borderId="20" xfId="1" applyNumberFormat="1" applyFont="1" applyFill="1" applyBorder="1" applyAlignment="1">
      <alignment horizontal="center" vertical="center"/>
    </xf>
    <xf numFmtId="164" fontId="56" fillId="4" borderId="6" xfId="1" applyNumberFormat="1" applyFont="1" applyFill="1" applyBorder="1" applyAlignment="1">
      <alignment vertical="center"/>
    </xf>
    <xf numFmtId="0" fontId="55" fillId="4" borderId="8" xfId="0" applyFont="1" applyFill="1" applyBorder="1" applyAlignment="1">
      <alignment wrapText="1"/>
    </xf>
    <xf numFmtId="0" fontId="55" fillId="4" borderId="28" xfId="0" applyFont="1" applyFill="1" applyBorder="1" applyAlignment="1">
      <alignment horizontal="center" wrapText="1"/>
    </xf>
    <xf numFmtId="0" fontId="55" fillId="4" borderId="8" xfId="7" applyFont="1" applyFill="1" applyBorder="1" applyAlignment="1">
      <alignment horizontal="center" vertical="center"/>
    </xf>
    <xf numFmtId="164" fontId="55" fillId="4" borderId="8" xfId="1" applyNumberFormat="1" applyFont="1" applyFill="1" applyBorder="1" applyAlignment="1">
      <alignment horizontal="center" vertical="center"/>
    </xf>
    <xf numFmtId="164" fontId="56" fillId="4" borderId="8" xfId="1" applyNumberFormat="1" applyFont="1" applyFill="1" applyBorder="1" applyAlignment="1">
      <alignment vertical="center"/>
    </xf>
    <xf numFmtId="164" fontId="55" fillId="4" borderId="8" xfId="1" applyNumberFormat="1" applyFont="1" applyFill="1" applyBorder="1" applyAlignment="1">
      <alignment horizontal="right" vertical="center"/>
    </xf>
    <xf numFmtId="0" fontId="63" fillId="4" borderId="2" xfId="0" applyFont="1" applyFill="1" applyBorder="1" applyAlignment="1">
      <alignment horizontal="center"/>
    </xf>
    <xf numFmtId="164" fontId="56" fillId="4" borderId="2" xfId="1" applyNumberFormat="1" applyFont="1" applyFill="1" applyBorder="1" applyAlignment="1">
      <alignment vertical="center"/>
    </xf>
    <xf numFmtId="164" fontId="55" fillId="4" borderId="2" xfId="1" applyNumberFormat="1" applyFont="1" applyFill="1" applyBorder="1" applyAlignment="1">
      <alignment vertical="center"/>
    </xf>
    <xf numFmtId="164" fontId="63" fillId="4" borderId="2" xfId="1" applyNumberFormat="1" applyFont="1" applyFill="1" applyBorder="1"/>
    <xf numFmtId="164" fontId="63" fillId="4" borderId="0" xfId="1" applyNumberFormat="1" applyFont="1" applyFill="1" applyBorder="1"/>
    <xf numFmtId="0" fontId="62" fillId="0" borderId="0" xfId="0" applyFont="1" applyFill="1" applyBorder="1" applyAlignment="1">
      <alignment horizontal="center" vertical="center"/>
    </xf>
    <xf numFmtId="0" fontId="62" fillId="0" borderId="0" xfId="0" applyFont="1" applyFill="1" applyBorder="1"/>
    <xf numFmtId="0" fontId="62" fillId="0" borderId="0" xfId="0" applyFont="1" applyFill="1" applyAlignment="1"/>
    <xf numFmtId="164" fontId="62" fillId="0" borderId="0" xfId="1" applyNumberFormat="1" applyFont="1" applyFill="1" applyAlignment="1"/>
    <xf numFmtId="0" fontId="55" fillId="0" borderId="10" xfId="20" applyFont="1" applyFill="1" applyBorder="1" applyAlignment="1">
      <alignment horizontal="center" vertical="center" wrapText="1"/>
    </xf>
    <xf numFmtId="0" fontId="55" fillId="0" borderId="1" xfId="20" applyFont="1" applyFill="1" applyBorder="1" applyAlignment="1">
      <alignment horizontal="left" vertical="center" wrapText="1"/>
    </xf>
    <xf numFmtId="0" fontId="55" fillId="0" borderId="1" xfId="20" applyFont="1" applyFill="1" applyBorder="1" applyAlignment="1">
      <alignment horizontal="center" vertical="center" wrapText="1"/>
    </xf>
    <xf numFmtId="0" fontId="55" fillId="0" borderId="10" xfId="0" applyFont="1" applyFill="1" applyBorder="1" applyAlignment="1">
      <alignment horizontal="center" vertical="center" wrapText="1"/>
    </xf>
    <xf numFmtId="49" fontId="55" fillId="0" borderId="6" xfId="41" applyNumberFormat="1" applyFont="1" applyFill="1" applyBorder="1" applyAlignment="1">
      <alignment vertical="center" wrapText="1"/>
    </xf>
    <xf numFmtId="0" fontId="55" fillId="0" borderId="7" xfId="20" applyFont="1" applyFill="1" applyBorder="1" applyAlignment="1">
      <alignment horizontal="center" vertical="center" wrapText="1"/>
    </xf>
    <xf numFmtId="49" fontId="55" fillId="0" borderId="7" xfId="41" applyNumberFormat="1" applyFont="1" applyFill="1" applyBorder="1" applyAlignment="1">
      <alignment vertical="center" wrapText="1"/>
    </xf>
    <xf numFmtId="0" fontId="67" fillId="0" borderId="0" xfId="0" applyFont="1" applyFill="1" applyAlignment="1">
      <alignment horizontal="center"/>
    </xf>
    <xf numFmtId="0" fontId="55" fillId="0" borderId="0" xfId="0" applyFont="1" applyFill="1" applyAlignment="1">
      <alignment horizontal="center"/>
    </xf>
    <xf numFmtId="164" fontId="76" fillId="0" borderId="0" xfId="1" applyNumberFormat="1" applyFont="1" applyFill="1" applyAlignment="1"/>
    <xf numFmtId="0" fontId="77" fillId="0" borderId="4" xfId="0" applyFont="1" applyFill="1" applyBorder="1" applyAlignment="1">
      <alignment horizontal="left" vertical="center"/>
    </xf>
    <xf numFmtId="0" fontId="55" fillId="0" borderId="4" xfId="20" applyFont="1" applyFill="1" applyBorder="1" applyAlignment="1">
      <alignment horizontal="center" vertical="center" wrapText="1"/>
    </xf>
    <xf numFmtId="0" fontId="77" fillId="0" borderId="6" xfId="42" applyFont="1" applyFill="1" applyBorder="1" applyAlignment="1">
      <alignment vertical="center"/>
    </xf>
    <xf numFmtId="0" fontId="77" fillId="0" borderId="6" xfId="0" applyFont="1" applyFill="1" applyBorder="1" applyAlignment="1">
      <alignment horizontal="left" vertical="center"/>
    </xf>
    <xf numFmtId="0" fontId="77" fillId="0" borderId="7" xfId="0" applyFont="1" applyFill="1" applyBorder="1" applyAlignment="1">
      <alignment wrapText="1"/>
    </xf>
    <xf numFmtId="164" fontId="55" fillId="0" borderId="0" xfId="1" applyNumberFormat="1" applyFont="1" applyFill="1" applyAlignment="1">
      <alignment horizontal="center"/>
    </xf>
    <xf numFmtId="0" fontId="55" fillId="0" borderId="6" xfId="43" applyFont="1" applyFill="1" applyBorder="1" applyAlignment="1">
      <alignment horizontal="center" vertical="center"/>
    </xf>
    <xf numFmtId="0" fontId="55" fillId="0" borderId="5" xfId="44" applyFont="1" applyFill="1" applyBorder="1" applyAlignment="1">
      <alignment horizontal="center" vertical="center"/>
    </xf>
    <xf numFmtId="0" fontId="69" fillId="0" borderId="5" xfId="43" applyFont="1" applyFill="1" applyBorder="1" applyAlignment="1">
      <alignment horizontal="left"/>
    </xf>
    <xf numFmtId="0" fontId="69" fillId="0" borderId="5" xfId="43" applyFont="1" applyFill="1" applyBorder="1"/>
    <xf numFmtId="164" fontId="55" fillId="0" borderId="22" xfId="1" applyNumberFormat="1" applyFont="1" applyFill="1" applyBorder="1" applyAlignment="1">
      <alignment horizontal="center"/>
    </xf>
    <xf numFmtId="41" fontId="55" fillId="0" borderId="22" xfId="43" applyNumberFormat="1" applyFont="1" applyFill="1" applyBorder="1" applyAlignment="1">
      <alignment horizontal="center"/>
    </xf>
    <xf numFmtId="41" fontId="55" fillId="0" borderId="22" xfId="43" applyNumberFormat="1" applyFont="1" applyFill="1" applyBorder="1" applyAlignment="1">
      <alignment vertical="center" wrapText="1"/>
    </xf>
    <xf numFmtId="0" fontId="55" fillId="0" borderId="6" xfId="44" applyFont="1" applyFill="1" applyBorder="1" applyAlignment="1">
      <alignment horizontal="center" vertical="center"/>
    </xf>
    <xf numFmtId="0" fontId="69" fillId="0" borderId="6" xfId="43" applyFont="1" applyFill="1" applyBorder="1" applyAlignment="1">
      <alignment horizontal="left"/>
    </xf>
    <xf numFmtId="0" fontId="69" fillId="0" borderId="6" xfId="43" applyFont="1" applyFill="1" applyBorder="1"/>
    <xf numFmtId="164" fontId="55" fillId="0" borderId="14" xfId="1" applyNumberFormat="1" applyFont="1" applyFill="1" applyBorder="1" applyAlignment="1">
      <alignment horizontal="center"/>
    </xf>
    <xf numFmtId="41" fontId="55" fillId="0" borderId="14" xfId="43" applyNumberFormat="1" applyFont="1" applyFill="1" applyBorder="1" applyAlignment="1">
      <alignment horizontal="center"/>
    </xf>
    <xf numFmtId="41" fontId="55" fillId="0" borderId="14" xfId="43" applyNumberFormat="1" applyFont="1" applyFill="1" applyBorder="1" applyAlignment="1">
      <alignment vertical="center" wrapText="1"/>
    </xf>
    <xf numFmtId="0" fontId="8" fillId="0" borderId="6" xfId="43" applyFont="1" applyFill="1" applyBorder="1"/>
    <xf numFmtId="0" fontId="55" fillId="0" borderId="6" xfId="43" applyFont="1" applyFill="1" applyBorder="1"/>
    <xf numFmtId="0" fontId="55" fillId="4" borderId="6" xfId="43" applyFont="1" applyFill="1" applyBorder="1" applyAlignment="1">
      <alignment horizontal="center" vertical="center"/>
    </xf>
    <xf numFmtId="0" fontId="55" fillId="4" borderId="6" xfId="44" applyFont="1" applyFill="1" applyBorder="1" applyAlignment="1">
      <alignment horizontal="center" vertical="center"/>
    </xf>
    <xf numFmtId="0" fontId="69" fillId="4" borderId="6" xfId="43" applyFont="1" applyFill="1" applyBorder="1" applyAlignment="1">
      <alignment horizontal="left"/>
    </xf>
    <xf numFmtId="0" fontId="69" fillId="4" borderId="6" xfId="43" applyFont="1" applyFill="1" applyBorder="1"/>
    <xf numFmtId="164" fontId="55" fillId="4" borderId="14" xfId="1" applyNumberFormat="1" applyFont="1" applyFill="1" applyBorder="1" applyAlignment="1">
      <alignment horizontal="center"/>
    </xf>
    <xf numFmtId="164" fontId="55" fillId="4" borderId="15" xfId="1" applyNumberFormat="1" applyFont="1" applyFill="1" applyBorder="1" applyAlignment="1">
      <alignment wrapText="1"/>
    </xf>
    <xf numFmtId="41" fontId="55" fillId="4" borderId="14" xfId="43" applyNumberFormat="1" applyFont="1" applyFill="1" applyBorder="1" applyAlignment="1">
      <alignment horizontal="center"/>
    </xf>
    <xf numFmtId="41" fontId="55" fillId="4" borderId="14" xfId="43" applyNumberFormat="1" applyFont="1" applyFill="1" applyBorder="1" applyAlignment="1">
      <alignment vertical="center" wrapText="1"/>
    </xf>
    <xf numFmtId="0" fontId="69" fillId="0" borderId="7" xfId="43" applyFont="1" applyFill="1" applyBorder="1" applyAlignment="1">
      <alignment horizontal="left"/>
    </xf>
    <xf numFmtId="0" fontId="69" fillId="0" borderId="7" xfId="43" applyFont="1" applyFill="1" applyBorder="1"/>
    <xf numFmtId="0" fontId="55" fillId="0" borderId="8" xfId="44" applyFont="1" applyFill="1" applyBorder="1" applyAlignment="1">
      <alignment horizontal="center" vertical="center"/>
    </xf>
    <xf numFmtId="0" fontId="69" fillId="0" borderId="8" xfId="43" applyFont="1" applyFill="1" applyBorder="1" applyAlignment="1">
      <alignment horizontal="left"/>
    </xf>
    <xf numFmtId="0" fontId="69" fillId="0" borderId="8" xfId="43" applyFont="1" applyFill="1" applyBorder="1"/>
    <xf numFmtId="164" fontId="55" fillId="0" borderId="23" xfId="1" applyNumberFormat="1" applyFont="1" applyFill="1" applyBorder="1" applyAlignment="1">
      <alignment horizontal="center"/>
    </xf>
    <xf numFmtId="41" fontId="55" fillId="0" borderId="23" xfId="43" applyNumberFormat="1" applyFont="1" applyFill="1" applyBorder="1" applyAlignment="1">
      <alignment horizontal="center"/>
    </xf>
    <xf numFmtId="41" fontId="55" fillId="0" borderId="23" xfId="43" applyNumberFormat="1" applyFont="1" applyFill="1" applyBorder="1" applyAlignment="1">
      <alignment vertical="center" wrapText="1"/>
    </xf>
    <xf numFmtId="164" fontId="64" fillId="0" borderId="3" xfId="1" applyNumberFormat="1" applyFont="1" applyFill="1" applyBorder="1" applyAlignment="1"/>
    <xf numFmtId="0" fontId="55" fillId="0" borderId="5" xfId="43" applyFont="1" applyFill="1" applyBorder="1" applyAlignment="1">
      <alignment horizontal="center" vertical="center"/>
    </xf>
    <xf numFmtId="0" fontId="55" fillId="0" borderId="5" xfId="0" applyFont="1" applyFill="1" applyBorder="1" applyAlignment="1">
      <alignment horizontal="left" vertical="center" wrapText="1"/>
    </xf>
    <xf numFmtId="0" fontId="55" fillId="0" borderId="5" xfId="0" applyNumberFormat="1" applyFont="1" applyFill="1" applyBorder="1" applyAlignment="1">
      <alignment horizontal="center" vertical="top" wrapText="1"/>
    </xf>
    <xf numFmtId="0" fontId="55" fillId="0" borderId="7" xfId="43" applyFont="1" applyFill="1" applyBorder="1" applyAlignment="1">
      <alignment horizontal="center" vertical="center"/>
    </xf>
    <xf numFmtId="0" fontId="55" fillId="0" borderId="7" xfId="44" applyFont="1" applyFill="1" applyBorder="1" applyAlignment="1">
      <alignment horizontal="center" vertical="center"/>
    </xf>
    <xf numFmtId="0" fontId="55" fillId="0" borderId="6" xfId="0" applyFont="1" applyFill="1" applyBorder="1" applyAlignment="1">
      <alignment horizontal="left" vertical="center" wrapText="1"/>
    </xf>
    <xf numFmtId="0" fontId="55" fillId="0" borderId="6" xfId="0" applyNumberFormat="1" applyFont="1" applyFill="1" applyBorder="1" applyAlignment="1">
      <alignment horizontal="center" vertical="top" wrapText="1"/>
    </xf>
    <xf numFmtId="49" fontId="55" fillId="0" borderId="6" xfId="31" applyNumberFormat="1" applyFont="1" applyFill="1" applyBorder="1" applyAlignment="1">
      <alignment horizontal="center" vertical="center" wrapText="1"/>
    </xf>
    <xf numFmtId="0" fontId="55" fillId="0" borderId="11" xfId="0" applyFont="1" applyFill="1" applyBorder="1" applyAlignment="1">
      <alignment vertical="center"/>
    </xf>
    <xf numFmtId="0" fontId="55" fillId="0" borderId="6" xfId="0" applyFont="1" applyFill="1" applyBorder="1" applyAlignment="1">
      <alignment vertical="center"/>
    </xf>
    <xf numFmtId="0" fontId="55" fillId="0" borderId="7" xfId="0" applyFont="1" applyFill="1" applyBorder="1" applyAlignment="1">
      <alignment horizontal="center" vertical="top" wrapText="1"/>
    </xf>
    <xf numFmtId="0" fontId="55" fillId="0" borderId="2" xfId="43" applyFont="1" applyFill="1" applyBorder="1" applyAlignment="1">
      <alignment horizontal="center" vertical="center"/>
    </xf>
    <xf numFmtId="0" fontId="55" fillId="0" borderId="2" xfId="44" applyFont="1" applyFill="1" applyBorder="1" applyAlignment="1">
      <alignment horizontal="center" vertical="center"/>
    </xf>
    <xf numFmtId="0" fontId="8" fillId="0" borderId="2" xfId="43" applyFont="1" applyFill="1" applyBorder="1" applyAlignment="1">
      <alignment horizontal="center"/>
    </xf>
    <xf numFmtId="0" fontId="69" fillId="0" borderId="2" xfId="43" applyFont="1" applyFill="1" applyBorder="1"/>
    <xf numFmtId="164" fontId="69" fillId="0" borderId="2" xfId="1" applyNumberFormat="1" applyFont="1" applyFill="1" applyBorder="1"/>
    <xf numFmtId="0" fontId="55" fillId="0" borderId="0" xfId="43" applyFont="1" applyFill="1" applyBorder="1" applyAlignment="1">
      <alignment horizontal="center" vertical="center"/>
    </xf>
    <xf numFmtId="0" fontId="55" fillId="0" borderId="0" xfId="44" applyFont="1" applyFill="1" applyBorder="1" applyAlignment="1">
      <alignment horizontal="center" vertical="center"/>
    </xf>
    <xf numFmtId="0" fontId="8" fillId="0" borderId="0" xfId="43" applyFont="1" applyFill="1" applyBorder="1" applyAlignment="1">
      <alignment horizontal="center"/>
    </xf>
    <xf numFmtId="0" fontId="69" fillId="0" borderId="0" xfId="43" applyFont="1" applyFill="1" applyBorder="1"/>
    <xf numFmtId="164" fontId="69" fillId="0" borderId="0" xfId="1" applyNumberFormat="1" applyFont="1" applyFill="1" applyBorder="1"/>
    <xf numFmtId="164" fontId="63" fillId="0" borderId="0" xfId="1" applyNumberFormat="1" applyFont="1" applyFill="1" applyBorder="1" applyAlignment="1">
      <alignment wrapText="1"/>
    </xf>
    <xf numFmtId="164" fontId="55" fillId="0" borderId="5" xfId="1" applyNumberFormat="1" applyFont="1" applyFill="1" applyBorder="1"/>
    <xf numFmtId="164" fontId="55" fillId="0" borderId="6" xfId="1" applyNumberFormat="1" applyFont="1" applyFill="1" applyBorder="1"/>
    <xf numFmtId="164" fontId="55" fillId="0" borderId="8" xfId="1" applyNumberFormat="1" applyFont="1" applyFill="1" applyBorder="1"/>
    <xf numFmtId="0" fontId="55" fillId="0" borderId="2" xfId="20" applyFont="1" applyFill="1" applyBorder="1" applyAlignment="1">
      <alignment vertical="center" wrapText="1"/>
    </xf>
    <xf numFmtId="164" fontId="63" fillId="0" borderId="3" xfId="1" applyNumberFormat="1" applyFont="1" applyFill="1" applyBorder="1" applyAlignment="1">
      <alignment horizontal="center" vertical="center"/>
    </xf>
    <xf numFmtId="164" fontId="63" fillId="0" borderId="2" xfId="1" applyNumberFormat="1" applyFont="1" applyFill="1" applyBorder="1" applyAlignment="1">
      <alignment horizontal="center" vertical="center"/>
    </xf>
    <xf numFmtId="0" fontId="55" fillId="0" borderId="0" xfId="20" applyFont="1" applyFill="1" applyBorder="1" applyAlignment="1">
      <alignment vertical="center" wrapText="1"/>
    </xf>
    <xf numFmtId="164" fontId="63" fillId="0" borderId="0" xfId="1" applyNumberFormat="1" applyFont="1" applyFill="1" applyBorder="1" applyAlignment="1">
      <alignment horizontal="center" vertical="center"/>
    </xf>
    <xf numFmtId="0" fontId="62" fillId="0" borderId="0" xfId="26" applyFont="1" applyFill="1"/>
    <xf numFmtId="164" fontId="62" fillId="0" borderId="0" xfId="1" applyNumberFormat="1" applyFont="1" applyFill="1" applyAlignment="1">
      <alignment horizontal="center" vertical="center"/>
    </xf>
    <xf numFmtId="0" fontId="55" fillId="0" borderId="0" xfId="26" applyFont="1" applyFill="1" applyAlignment="1">
      <alignment vertical="center"/>
    </xf>
    <xf numFmtId="0" fontId="55" fillId="0" borderId="0" xfId="26" applyFont="1" applyFill="1" applyAlignment="1">
      <alignment vertical="center" wrapText="1"/>
    </xf>
    <xf numFmtId="164" fontId="56" fillId="0" borderId="0" xfId="1" applyNumberFormat="1" applyFont="1" applyFill="1" applyAlignment="1">
      <alignment vertical="center"/>
    </xf>
    <xf numFmtId="164" fontId="55" fillId="0" borderId="7" xfId="1" applyNumberFormat="1" applyFont="1" applyFill="1" applyBorder="1"/>
    <xf numFmtId="164" fontId="62" fillId="0" borderId="0" xfId="1" applyNumberFormat="1" applyFont="1" applyFill="1" applyAlignment="1">
      <alignment horizontal="left" vertical="center"/>
    </xf>
    <xf numFmtId="0" fontId="55" fillId="0" borderId="0" xfId="26" applyFont="1" applyFill="1" applyAlignment="1">
      <alignment horizontal="left" vertical="center" wrapText="1"/>
    </xf>
    <xf numFmtId="0" fontId="56" fillId="0" borderId="14" xfId="0" applyFont="1" applyFill="1" applyBorder="1" applyAlignment="1">
      <alignment horizontal="center" vertical="center"/>
    </xf>
    <xf numFmtId="164" fontId="56" fillId="0" borderId="13" xfId="1" applyNumberFormat="1" applyFont="1" applyFill="1" applyBorder="1" applyAlignment="1">
      <alignment horizontal="center" vertical="center"/>
    </xf>
    <xf numFmtId="0" fontId="56" fillId="0" borderId="13" xfId="0" applyFont="1" applyFill="1" applyBorder="1" applyAlignment="1">
      <alignment horizontal="left" vertical="center" wrapText="1"/>
    </xf>
    <xf numFmtId="0" fontId="55" fillId="0" borderId="13" xfId="0" applyFont="1" applyFill="1" applyBorder="1" applyAlignment="1">
      <alignment horizontal="center" vertical="center" wrapText="1"/>
    </xf>
    <xf numFmtId="0" fontId="56" fillId="0" borderId="0" xfId="0" applyFont="1" applyFill="1"/>
    <xf numFmtId="0" fontId="56" fillId="0" borderId="13" xfId="0" applyFont="1" applyFill="1" applyBorder="1" applyAlignment="1">
      <alignment horizontal="center" vertical="center"/>
    </xf>
    <xf numFmtId="164" fontId="56" fillId="0" borderId="14" xfId="1" applyNumberFormat="1" applyFont="1" applyFill="1" applyBorder="1" applyAlignment="1">
      <alignment vertical="center"/>
    </xf>
    <xf numFmtId="0" fontId="56" fillId="0" borderId="14" xfId="0" applyFont="1" applyFill="1" applyBorder="1" applyAlignment="1">
      <alignment horizontal="left" vertical="center" wrapText="1"/>
    </xf>
    <xf numFmtId="0" fontId="56" fillId="0" borderId="2" xfId="0" applyFont="1" applyFill="1" applyBorder="1" applyAlignment="1">
      <alignment horizontal="center" vertical="center"/>
    </xf>
    <xf numFmtId="164" fontId="56" fillId="0" borderId="2" xfId="1" applyNumberFormat="1" applyFont="1" applyFill="1" applyBorder="1"/>
    <xf numFmtId="164" fontId="64" fillId="0" borderId="2" xfId="1" applyNumberFormat="1" applyFont="1" applyFill="1" applyBorder="1" applyAlignment="1">
      <alignment horizontal="center"/>
    </xf>
    <xf numFmtId="0" fontId="56" fillId="0" borderId="2" xfId="0" applyFont="1" applyFill="1" applyBorder="1"/>
    <xf numFmtId="0" fontId="56" fillId="0" borderId="2" xfId="0" applyFont="1" applyFill="1" applyBorder="1" applyAlignment="1">
      <alignment vertical="center" wrapText="1"/>
    </xf>
    <xf numFmtId="3" fontId="55" fillId="0" borderId="2" xfId="0" applyNumberFormat="1" applyFont="1" applyFill="1" applyBorder="1"/>
    <xf numFmtId="3" fontId="55" fillId="0" borderId="2" xfId="0" applyNumberFormat="1" applyFont="1" applyFill="1" applyBorder="1" applyAlignment="1">
      <alignment vertical="center" wrapText="1"/>
    </xf>
    <xf numFmtId="164" fontId="55" fillId="0" borderId="4" xfId="1" applyNumberFormat="1" applyFont="1" applyFill="1" applyBorder="1"/>
    <xf numFmtId="3" fontId="55" fillId="0" borderId="4" xfId="0" applyNumberFormat="1" applyFont="1" applyFill="1" applyBorder="1" applyAlignment="1">
      <alignment vertical="center" wrapText="1"/>
    </xf>
    <xf numFmtId="0" fontId="55" fillId="7" borderId="2" xfId="0" applyFont="1" applyFill="1" applyBorder="1" applyAlignment="1">
      <alignment horizontal="center" vertical="center"/>
    </xf>
    <xf numFmtId="0" fontId="55" fillId="7" borderId="2" xfId="0" applyFont="1" applyFill="1" applyBorder="1"/>
    <xf numFmtId="164" fontId="55" fillId="7" borderId="2" xfId="1" applyNumberFormat="1" applyFont="1" applyFill="1" applyBorder="1"/>
    <xf numFmtId="164" fontId="63" fillId="7" borderId="2" xfId="1" applyNumberFormat="1" applyFont="1" applyFill="1" applyBorder="1"/>
    <xf numFmtId="164" fontId="56" fillId="7" borderId="2" xfId="1" applyNumberFormat="1" applyFont="1" applyFill="1" applyBorder="1" applyAlignment="1"/>
    <xf numFmtId="164" fontId="79" fillId="7" borderId="2" xfId="1" applyNumberFormat="1" applyFont="1" applyFill="1" applyBorder="1" applyAlignment="1">
      <alignment horizontal="center"/>
    </xf>
    <xf numFmtId="0" fontId="13" fillId="7" borderId="2" xfId="0" applyFont="1" applyFill="1" applyBorder="1"/>
    <xf numFmtId="0" fontId="13" fillId="7" borderId="2" xfId="0" applyFont="1" applyFill="1" applyBorder="1" applyAlignment="1">
      <alignment vertical="center" wrapText="1"/>
    </xf>
    <xf numFmtId="3" fontId="80" fillId="7" borderId="2" xfId="0" applyNumberFormat="1" applyFont="1" applyFill="1" applyBorder="1"/>
    <xf numFmtId="164" fontId="81" fillId="0" borderId="0" xfId="1" applyNumberFormat="1" applyFont="1" applyFill="1" applyAlignment="1">
      <alignment vertical="center" wrapText="1"/>
    </xf>
    <xf numFmtId="164" fontId="81" fillId="0" borderId="0" xfId="1" applyNumberFormat="1" applyFont="1" applyFill="1" applyAlignment="1">
      <alignment horizontal="left" vertical="center" wrapText="1"/>
    </xf>
    <xf numFmtId="0" fontId="36" fillId="0" borderId="0" xfId="0" applyFont="1" applyBorder="1" applyAlignment="1">
      <alignment vertical="center" wrapText="1"/>
    </xf>
    <xf numFmtId="0" fontId="37" fillId="0" borderId="0" xfId="0" applyFont="1" applyBorder="1" applyAlignment="1">
      <alignment vertical="center" wrapText="1"/>
    </xf>
    <xf numFmtId="0" fontId="63" fillId="0" borderId="2" xfId="0" applyFont="1" applyBorder="1" applyAlignment="1">
      <alignment horizontal="center" vertical="center" wrapText="1"/>
    </xf>
    <xf numFmtId="164" fontId="63" fillId="0" borderId="2" xfId="39" applyNumberFormat="1" applyFont="1" applyBorder="1" applyAlignment="1">
      <alignment horizontal="center" vertical="center" wrapText="1"/>
    </xf>
    <xf numFmtId="43" fontId="63" fillId="0" borderId="2" xfId="39" applyFont="1" applyBorder="1" applyAlignment="1">
      <alignment horizontal="center" vertical="center" wrapText="1"/>
    </xf>
    <xf numFmtId="10" fontId="25" fillId="4" borderId="22" xfId="0" applyNumberFormat="1" applyFont="1" applyFill="1" applyBorder="1" applyAlignment="1">
      <alignment horizontal="left" vertical="center"/>
    </xf>
    <xf numFmtId="164" fontId="73" fillId="4" borderId="22" xfId="39" applyNumberFormat="1" applyFont="1" applyFill="1" applyBorder="1"/>
    <xf numFmtId="164" fontId="73" fillId="4" borderId="14" xfId="39" applyNumberFormat="1" applyFont="1" applyFill="1" applyBorder="1"/>
    <xf numFmtId="165" fontId="73" fillId="4" borderId="22" xfId="39" applyNumberFormat="1" applyFont="1" applyFill="1" applyBorder="1"/>
    <xf numFmtId="164" fontId="1" fillId="4" borderId="0" xfId="39" applyNumberFormat="1" applyFont="1" applyFill="1"/>
    <xf numFmtId="43" fontId="73" fillId="4" borderId="22" xfId="39" applyFont="1" applyFill="1" applyBorder="1"/>
    <xf numFmtId="0" fontId="4" fillId="2" borderId="0" xfId="0" applyFont="1" applyFill="1" applyAlignment="1">
      <alignment horizontal="center" vertical="center" wrapText="1"/>
    </xf>
    <xf numFmtId="164" fontId="6" fillId="0" borderId="0" xfId="1" applyNumberFormat="1" applyFont="1" applyFill="1" applyBorder="1" applyAlignment="1">
      <alignment horizont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164" fontId="6" fillId="0" borderId="2" xfId="1" applyNumberFormat="1" applyFont="1" applyFill="1" applyBorder="1" applyAlignment="1">
      <alignment horizontal="center"/>
    </xf>
    <xf numFmtId="164" fontId="8" fillId="0" borderId="1" xfId="1" applyNumberFormat="1" applyFont="1" applyBorder="1" applyAlignment="1">
      <alignment horizontal="center" vertical="center" wrapText="1"/>
    </xf>
    <xf numFmtId="164" fontId="8" fillId="0" borderId="3" xfId="1" applyNumberFormat="1" applyFont="1" applyBorder="1" applyAlignment="1">
      <alignment horizontal="center" vertical="center" wrapText="1"/>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8" fillId="5" borderId="2" xfId="8" applyFont="1" applyFill="1" applyBorder="1" applyAlignment="1">
      <alignment horizontal="center" vertical="center" wrapText="1" shrinkToFit="1"/>
    </xf>
    <xf numFmtId="0" fontId="10" fillId="0" borderId="0" xfId="0" applyFont="1" applyBorder="1" applyAlignment="1">
      <alignment horizontal="center" vertical="top" wrapText="1"/>
    </xf>
    <xf numFmtId="0" fontId="8" fillId="0" borderId="0" xfId="0" applyFont="1" applyBorder="1" applyAlignment="1">
      <alignment horizontal="left" wrapText="1"/>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1" xfId="0" applyFont="1" applyBorder="1" applyAlignment="1">
      <alignment horizontal="center" vertical="center"/>
    </xf>
    <xf numFmtId="0" fontId="6" fillId="0" borderId="26" xfId="0" applyFont="1" applyBorder="1" applyAlignment="1">
      <alignment horizontal="left" vertical="center"/>
    </xf>
    <xf numFmtId="0" fontId="8" fillId="0" borderId="26" xfId="0" applyFont="1" applyBorder="1" applyAlignment="1">
      <alignment horizontal="left" wrapText="1"/>
    </xf>
    <xf numFmtId="0" fontId="9" fillId="0" borderId="0" xfId="0" applyFont="1" applyAlignment="1">
      <alignment horizontal="left" wrapText="1"/>
    </xf>
    <xf numFmtId="0" fontId="6" fillId="0" borderId="29"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19" fillId="0" borderId="26" xfId="0" applyFont="1" applyBorder="1" applyAlignment="1">
      <alignment horizontal="left"/>
    </xf>
    <xf numFmtId="0" fontId="14" fillId="0" borderId="2" xfId="0" applyFont="1" applyBorder="1" applyAlignment="1">
      <alignment horizontal="left" vertical="center" wrapText="1"/>
    </xf>
    <xf numFmtId="0" fontId="10" fillId="0" borderId="24" xfId="0" applyFont="1" applyBorder="1" applyAlignment="1">
      <alignment horizontal="right" vertical="center" wrapText="1"/>
    </xf>
    <xf numFmtId="0" fontId="10" fillId="0" borderId="25" xfId="0" applyFont="1" applyBorder="1" applyAlignment="1">
      <alignment horizontal="right" vertical="center" wrapText="1"/>
    </xf>
    <xf numFmtId="0" fontId="10" fillId="0" borderId="21" xfId="0" applyFont="1" applyBorder="1" applyAlignment="1">
      <alignment horizontal="right"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1" xfId="0" applyFont="1" applyBorder="1" applyAlignment="1">
      <alignment horizontal="center" vertical="center"/>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0" fillId="0" borderId="0" xfId="0" applyFont="1" applyFill="1" applyAlignment="1">
      <alignment horizontal="left"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164" fontId="6" fillId="0" borderId="2" xfId="1" applyNumberFormat="1" applyFont="1" applyFill="1" applyBorder="1" applyAlignment="1">
      <alignment vertical="center" wrapText="1"/>
    </xf>
    <xf numFmtId="164" fontId="8" fillId="0" borderId="1" xfId="1" applyNumberFormat="1" applyFont="1" applyBorder="1" applyAlignment="1">
      <alignment vertical="center" wrapText="1"/>
    </xf>
    <xf numFmtId="164" fontId="8" fillId="0" borderId="3" xfId="1" applyNumberFormat="1" applyFont="1" applyBorder="1" applyAlignment="1">
      <alignment vertical="center" wrapText="1"/>
    </xf>
    <xf numFmtId="0" fontId="8" fillId="2" borderId="3" xfId="0" applyFont="1" applyFill="1" applyBorder="1" applyAlignment="1">
      <alignment vertical="center" wrapText="1"/>
    </xf>
    <xf numFmtId="0" fontId="6" fillId="0" borderId="0" xfId="0" applyFont="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xf>
    <xf numFmtId="49" fontId="9" fillId="0" borderId="2" xfId="0" applyNumberFormat="1" applyFont="1" applyBorder="1" applyAlignment="1">
      <alignment horizontal="left" vertical="top" wrapText="1"/>
    </xf>
    <xf numFmtId="49" fontId="19" fillId="0" borderId="0" xfId="0" applyNumberFormat="1" applyFont="1" applyBorder="1" applyAlignment="1">
      <alignment horizontal="left" vertical="top"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1" xfId="0" applyFont="1" applyFill="1" applyBorder="1" applyAlignment="1">
      <alignment horizontal="center" vertical="center"/>
    </xf>
    <xf numFmtId="0" fontId="6" fillId="0" borderId="2" xfId="0" applyFont="1" applyBorder="1" applyAlignment="1">
      <alignment horizontal="center"/>
    </xf>
    <xf numFmtId="0" fontId="8" fillId="0" borderId="2" xfId="0" applyFont="1" applyBorder="1" applyAlignment="1">
      <alignment horizontal="left" wrapText="1"/>
    </xf>
    <xf numFmtId="0" fontId="6" fillId="0" borderId="2" xfId="0" applyFont="1" applyFill="1" applyBorder="1" applyAlignment="1">
      <alignment vertical="top" wrapText="1"/>
    </xf>
    <xf numFmtId="0" fontId="6" fillId="0" borderId="2" xfId="0" applyFont="1" applyBorder="1" applyAlignment="1">
      <alignment horizontal="center" vertical="center"/>
    </xf>
    <xf numFmtId="164" fontId="8" fillId="0" borderId="0" xfId="1" applyNumberFormat="1" applyFont="1" applyFill="1" applyAlignment="1">
      <alignment horizontal="left"/>
    </xf>
    <xf numFmtId="0" fontId="28" fillId="2" borderId="0" xfId="0" applyFont="1" applyFill="1" applyBorder="1" applyAlignment="1">
      <alignment horizontal="left" vertical="center" wrapText="1"/>
    </xf>
    <xf numFmtId="0" fontId="8" fillId="0" borderId="26" xfId="0" applyFont="1" applyBorder="1" applyAlignment="1">
      <alignment horizontal="left" vertical="center"/>
    </xf>
    <xf numFmtId="0" fontId="8" fillId="0" borderId="0" xfId="0" applyFont="1" applyBorder="1" applyAlignment="1">
      <alignment horizontal="left" vertical="center"/>
    </xf>
    <xf numFmtId="0" fontId="8" fillId="0" borderId="2" xfId="0" applyFont="1" applyFill="1" applyBorder="1" applyAlignment="1">
      <alignment horizontal="center" vertical="center" wrapText="1"/>
    </xf>
    <xf numFmtId="0" fontId="30" fillId="0" borderId="0" xfId="0" applyFont="1" applyFill="1" applyBorder="1" applyAlignment="1">
      <alignment horizontal="left" vertical="center" wrapText="1"/>
    </xf>
    <xf numFmtId="170" fontId="6" fillId="0" borderId="2" xfId="0" applyNumberFormat="1" applyFont="1" applyBorder="1" applyAlignment="1">
      <alignment horizontal="center" vertical="center"/>
    </xf>
    <xf numFmtId="0" fontId="8" fillId="0" borderId="0" xfId="0" applyFont="1" applyBorder="1" applyAlignment="1">
      <alignment horizontal="left" vertical="center" wrapText="1" shrinkToFit="1"/>
    </xf>
    <xf numFmtId="0" fontId="8" fillId="0" borderId="26" xfId="0" applyFont="1" applyBorder="1" applyAlignment="1">
      <alignment horizontal="center" vertical="center" wrapText="1"/>
    </xf>
    <xf numFmtId="3" fontId="9" fillId="0" borderId="2" xfId="0" applyNumberFormat="1" applyFont="1" applyBorder="1" applyAlignment="1">
      <alignment vertical="center" wrapText="1"/>
    </xf>
    <xf numFmtId="0" fontId="8" fillId="0" borderId="43" xfId="20" applyFont="1" applyFill="1" applyBorder="1" applyAlignment="1">
      <alignment horizontal="center" vertical="center" wrapText="1"/>
    </xf>
    <xf numFmtId="0" fontId="8" fillId="0" borderId="44" xfId="20" applyFont="1" applyFill="1" applyBorder="1" applyAlignment="1">
      <alignment horizontal="center" vertical="center" wrapText="1"/>
    </xf>
    <xf numFmtId="0" fontId="8" fillId="0" borderId="45" xfId="20" applyFont="1" applyFill="1" applyBorder="1" applyAlignment="1">
      <alignment horizontal="center" vertical="center" wrapText="1"/>
    </xf>
    <xf numFmtId="0" fontId="6" fillId="0" borderId="23" xfId="0" applyFont="1" applyBorder="1" applyAlignment="1">
      <alignment vertical="center" wrapText="1"/>
    </xf>
    <xf numFmtId="0" fontId="6" fillId="0" borderId="2" xfId="0" applyFont="1" applyBorder="1" applyAlignment="1">
      <alignment vertical="center" wrapText="1"/>
    </xf>
    <xf numFmtId="0" fontId="14" fillId="0" borderId="0" xfId="0" applyFont="1" applyBorder="1" applyAlignment="1">
      <alignment horizontal="left" vertical="center"/>
    </xf>
    <xf numFmtId="0" fontId="8" fillId="0" borderId="0" xfId="0" applyFont="1" applyFill="1" applyAlignment="1">
      <alignment horizontal="left" vertical="center" wrapText="1"/>
    </xf>
    <xf numFmtId="49" fontId="9" fillId="0" borderId="2" xfId="0" applyNumberFormat="1" applyFont="1" applyBorder="1" applyAlignment="1">
      <alignment vertical="center" wrapText="1"/>
    </xf>
    <xf numFmtId="49" fontId="19" fillId="0" borderId="2" xfId="0" applyNumberFormat="1" applyFont="1" applyBorder="1" applyAlignment="1">
      <alignment vertical="center" wrapText="1"/>
    </xf>
    <xf numFmtId="3" fontId="35" fillId="0" borderId="2" xfId="0" applyNumberFormat="1" applyFont="1" applyFill="1" applyBorder="1" applyAlignment="1">
      <alignment vertical="center" wrapText="1"/>
    </xf>
    <xf numFmtId="3" fontId="8" fillId="0" borderId="23" xfId="0" applyNumberFormat="1" applyFont="1" applyFill="1" applyBorder="1" applyAlignment="1">
      <alignment vertical="center" wrapText="1"/>
    </xf>
    <xf numFmtId="3" fontId="8" fillId="0" borderId="2" xfId="0" applyNumberFormat="1" applyFont="1" applyFill="1" applyBorder="1" applyAlignment="1">
      <alignment horizontal="center" vertical="center"/>
    </xf>
    <xf numFmtId="0" fontId="6" fillId="0" borderId="0" xfId="0" applyFont="1" applyBorder="1" applyAlignment="1">
      <alignment horizontal="left" vertical="top" wrapText="1"/>
    </xf>
    <xf numFmtId="164" fontId="8" fillId="0" borderId="2" xfId="1" applyNumberFormat="1" applyFont="1" applyBorder="1" applyAlignment="1">
      <alignment horizontal="center" vertical="center" wrapText="1"/>
    </xf>
    <xf numFmtId="0" fontId="8" fillId="0" borderId="2" xfId="0" applyFont="1" applyFill="1" applyBorder="1" applyAlignment="1">
      <alignment vertical="center" wrapText="1"/>
    </xf>
    <xf numFmtId="0" fontId="8" fillId="0" borderId="2" xfId="0" applyFont="1" applyBorder="1" applyAlignment="1">
      <alignment horizontal="left" vertical="center" wrapText="1"/>
    </xf>
    <xf numFmtId="0" fontId="36" fillId="0" borderId="0" xfId="0" applyFont="1" applyAlignment="1">
      <alignment horizontal="center" vertical="center" wrapText="1"/>
    </xf>
    <xf numFmtId="0" fontId="37" fillId="0" borderId="0" xfId="0" applyFont="1" applyAlignment="1">
      <alignment horizontal="center" vertical="center" wrapText="1"/>
    </xf>
    <xf numFmtId="166" fontId="7" fillId="7" borderId="2" xfId="0" applyNumberFormat="1" applyFont="1" applyFill="1" applyBorder="1" applyAlignment="1">
      <alignment horizontal="left"/>
    </xf>
    <xf numFmtId="0" fontId="44" fillId="0" borderId="2" xfId="0" applyFont="1" applyFill="1" applyBorder="1" applyAlignment="1">
      <alignment horizontal="center" vertical="center" wrapText="1"/>
    </xf>
    <xf numFmtId="0" fontId="39" fillId="0" borderId="0" xfId="0" applyFont="1" applyFill="1" applyAlignment="1">
      <alignment horizontal="center"/>
    </xf>
    <xf numFmtId="0" fontId="2" fillId="0" borderId="0" xfId="0" applyFont="1" applyFill="1" applyAlignment="1">
      <alignment horizontal="center"/>
    </xf>
    <xf numFmtId="0" fontId="46" fillId="0" borderId="2"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44" fillId="0" borderId="2" xfId="0" applyFont="1" applyFill="1" applyBorder="1" applyAlignment="1">
      <alignment horizontal="left" vertical="center" wrapText="1"/>
    </xf>
    <xf numFmtId="0" fontId="44" fillId="2" borderId="24" xfId="0" applyFont="1" applyFill="1" applyBorder="1" applyAlignment="1">
      <alignment horizontal="center" vertical="center" wrapText="1"/>
    </xf>
    <xf numFmtId="0" fontId="44" fillId="2" borderId="25" xfId="0" applyFont="1" applyFill="1" applyBorder="1" applyAlignment="1">
      <alignment horizontal="center" vertical="center" wrapText="1"/>
    </xf>
    <xf numFmtId="0" fontId="44" fillId="2" borderId="21" xfId="0" applyFont="1" applyFill="1" applyBorder="1" applyAlignment="1">
      <alignment horizontal="center" vertical="center" wrapText="1"/>
    </xf>
    <xf numFmtId="0" fontId="36" fillId="0" borderId="26" xfId="0" applyFont="1" applyBorder="1" applyAlignment="1">
      <alignment horizontal="center" vertical="center" wrapText="1"/>
    </xf>
    <xf numFmtId="0" fontId="52" fillId="0" borderId="2" xfId="0" applyFont="1" applyFill="1" applyBorder="1" applyAlignment="1">
      <alignment horizontal="center" vertical="center" wrapText="1"/>
    </xf>
    <xf numFmtId="0" fontId="58" fillId="2" borderId="0" xfId="0" applyFont="1" applyFill="1" applyAlignment="1">
      <alignment horizontal="center" vertical="center" wrapText="1"/>
    </xf>
    <xf numFmtId="0" fontId="60" fillId="0" borderId="0" xfId="31" applyFont="1" applyFill="1" applyAlignment="1">
      <alignment horizontal="center" wrapText="1"/>
    </xf>
    <xf numFmtId="0" fontId="62" fillId="0" borderId="0" xfId="0" applyFont="1" applyFill="1" applyAlignment="1">
      <alignment horizontal="center"/>
    </xf>
    <xf numFmtId="0" fontId="55" fillId="0" borderId="1" xfId="0" applyFont="1" applyFill="1" applyBorder="1" applyAlignment="1">
      <alignment horizontal="center" vertical="center" wrapText="1"/>
    </xf>
    <xf numFmtId="0" fontId="55" fillId="0" borderId="3" xfId="0" applyFont="1" applyFill="1" applyBorder="1" applyAlignment="1">
      <alignment horizontal="center" vertical="center" wrapText="1"/>
    </xf>
    <xf numFmtId="0" fontId="55" fillId="0" borderId="1" xfId="20" applyFont="1" applyFill="1" applyBorder="1" applyAlignment="1">
      <alignment horizontal="center" vertical="center" wrapText="1"/>
    </xf>
    <xf numFmtId="0" fontId="55" fillId="0" borderId="3" xfId="20" applyFont="1" applyFill="1" applyBorder="1" applyAlignment="1">
      <alignment horizontal="center" vertical="center" wrapText="1"/>
    </xf>
    <xf numFmtId="0" fontId="55" fillId="0" borderId="1" xfId="20" applyFont="1" applyFill="1" applyBorder="1" applyAlignment="1">
      <alignment vertical="center" wrapText="1"/>
    </xf>
    <xf numFmtId="0" fontId="55" fillId="0" borderId="10" xfId="20" applyFont="1" applyFill="1" applyBorder="1" applyAlignment="1">
      <alignment vertical="center" wrapText="1"/>
    </xf>
    <xf numFmtId="164" fontId="55" fillId="0" borderId="1" xfId="1" applyNumberFormat="1" applyFont="1" applyFill="1" applyBorder="1" applyAlignment="1">
      <alignment horizontal="center" vertical="center" wrapText="1"/>
    </xf>
    <xf numFmtId="164" fontId="55" fillId="0" borderId="10" xfId="1" applyNumberFormat="1" applyFont="1" applyFill="1" applyBorder="1" applyAlignment="1">
      <alignment horizontal="center" vertical="center" wrapText="1"/>
    </xf>
    <xf numFmtId="164" fontId="55" fillId="0" borderId="24" xfId="1" applyNumberFormat="1" applyFont="1" applyFill="1" applyBorder="1" applyAlignment="1">
      <alignment horizontal="center" vertical="center" wrapText="1"/>
    </xf>
    <xf numFmtId="164" fontId="55" fillId="0" borderId="25" xfId="1" applyNumberFormat="1" applyFont="1" applyFill="1" applyBorder="1" applyAlignment="1">
      <alignment horizontal="center" vertical="center" wrapText="1"/>
    </xf>
    <xf numFmtId="164" fontId="55" fillId="0" borderId="21" xfId="1" applyNumberFormat="1" applyFont="1" applyFill="1" applyBorder="1" applyAlignment="1">
      <alignment horizontal="center" vertical="center" wrapText="1"/>
    </xf>
    <xf numFmtId="0" fontId="55" fillId="0" borderId="1" xfId="0" applyFont="1" applyFill="1" applyBorder="1" applyAlignment="1">
      <alignment vertical="center" wrapText="1"/>
    </xf>
    <xf numFmtId="0" fontId="55" fillId="0" borderId="3" xfId="0" applyFont="1" applyFill="1" applyBorder="1" applyAlignment="1">
      <alignment vertical="center" wrapText="1"/>
    </xf>
    <xf numFmtId="0" fontId="55" fillId="0" borderId="3" xfId="20" applyFont="1" applyFill="1" applyBorder="1" applyAlignment="1">
      <alignment vertical="center" wrapText="1"/>
    </xf>
    <xf numFmtId="164" fontId="55" fillId="0" borderId="3" xfId="1" applyNumberFormat="1" applyFont="1" applyFill="1" applyBorder="1" applyAlignment="1">
      <alignment horizontal="center" vertical="center" wrapText="1"/>
    </xf>
    <xf numFmtId="164" fontId="55" fillId="0" borderId="2" xfId="1" applyNumberFormat="1" applyFont="1" applyFill="1" applyBorder="1" applyAlignment="1">
      <alignment horizontal="center" vertical="center" wrapText="1"/>
    </xf>
    <xf numFmtId="0" fontId="65" fillId="0" borderId="0" xfId="0" applyFont="1" applyFill="1" applyAlignment="1">
      <alignment horizontal="center"/>
    </xf>
    <xf numFmtId="0" fontId="67" fillId="0" borderId="0" xfId="0" applyFont="1" applyFill="1" applyAlignment="1">
      <alignment horizontal="center"/>
    </xf>
    <xf numFmtId="0" fontId="55" fillId="0" borderId="10" xfId="20" applyFont="1" applyFill="1" applyBorder="1" applyAlignment="1">
      <alignment horizontal="center" vertical="center" wrapText="1"/>
    </xf>
    <xf numFmtId="0" fontId="62" fillId="0" borderId="17" xfId="0" applyFont="1" applyFill="1" applyBorder="1" applyAlignment="1">
      <alignment horizontal="center"/>
    </xf>
    <xf numFmtId="0" fontId="62" fillId="0" borderId="0" xfId="0" applyFont="1" applyFill="1" applyBorder="1" applyAlignment="1">
      <alignment horizontal="center"/>
    </xf>
    <xf numFmtId="0" fontId="55" fillId="0" borderId="4" xfId="20" applyFont="1" applyFill="1" applyBorder="1" applyAlignment="1">
      <alignment horizontal="center" vertical="center" wrapText="1"/>
    </xf>
    <xf numFmtId="0" fontId="62" fillId="4" borderId="0" xfId="0" applyFont="1" applyFill="1" applyAlignment="1">
      <alignment horizontal="center"/>
    </xf>
    <xf numFmtId="0" fontId="55" fillId="4" borderId="1" xfId="0" applyFont="1" applyFill="1" applyBorder="1" applyAlignment="1">
      <alignment horizontal="center" vertical="center" wrapText="1"/>
    </xf>
    <xf numFmtId="0" fontId="55" fillId="4" borderId="3" xfId="0" applyFont="1" applyFill="1" applyBorder="1" applyAlignment="1">
      <alignment horizontal="center" vertical="center" wrapText="1"/>
    </xf>
    <xf numFmtId="0" fontId="55" fillId="4" borderId="1" xfId="20" applyFont="1" applyFill="1" applyBorder="1" applyAlignment="1">
      <alignment horizontal="center" vertical="center" wrapText="1"/>
    </xf>
    <xf numFmtId="0" fontId="55" fillId="4" borderId="3" xfId="20" applyFont="1" applyFill="1" applyBorder="1" applyAlignment="1">
      <alignment horizontal="center" vertical="center" wrapText="1"/>
    </xf>
    <xf numFmtId="0" fontId="55" fillId="4" borderId="1" xfId="20" applyFont="1" applyFill="1" applyBorder="1" applyAlignment="1">
      <alignment vertical="center" wrapText="1"/>
    </xf>
    <xf numFmtId="0" fontId="55" fillId="4" borderId="3" xfId="20" applyFont="1" applyFill="1" applyBorder="1" applyAlignment="1">
      <alignment vertical="center" wrapText="1"/>
    </xf>
    <xf numFmtId="164" fontId="55" fillId="4" borderId="1" xfId="1" applyNumberFormat="1" applyFont="1" applyFill="1" applyBorder="1" applyAlignment="1">
      <alignment horizontal="center" vertical="center" wrapText="1"/>
    </xf>
    <xf numFmtId="164" fontId="55" fillId="4" borderId="3" xfId="1" applyNumberFormat="1" applyFont="1" applyFill="1" applyBorder="1" applyAlignment="1">
      <alignment horizontal="center" vertical="center" wrapText="1"/>
    </xf>
    <xf numFmtId="164" fontId="55" fillId="4" borderId="24" xfId="1" applyNumberFormat="1" applyFont="1" applyFill="1" applyBorder="1" applyAlignment="1">
      <alignment horizontal="center" vertical="center" wrapText="1"/>
    </xf>
    <xf numFmtId="164" fontId="55" fillId="4" borderId="25" xfId="1" applyNumberFormat="1" applyFont="1" applyFill="1" applyBorder="1" applyAlignment="1">
      <alignment horizontal="center" vertical="center" wrapText="1"/>
    </xf>
    <xf numFmtId="164" fontId="55" fillId="4" borderId="21" xfId="1" applyNumberFormat="1" applyFont="1" applyFill="1" applyBorder="1" applyAlignment="1">
      <alignment horizontal="center" vertical="center" wrapText="1"/>
    </xf>
    <xf numFmtId="0" fontId="67" fillId="0" borderId="17" xfId="0" applyFont="1" applyFill="1" applyBorder="1" applyAlignment="1">
      <alignment horizontal="center"/>
    </xf>
    <xf numFmtId="0" fontId="0" fillId="0" borderId="3" xfId="0" applyBorder="1" applyAlignment="1">
      <alignment vertical="center" wrapText="1"/>
    </xf>
    <xf numFmtId="0" fontId="55" fillId="0" borderId="2" xfId="20" applyFont="1" applyFill="1" applyBorder="1" applyAlignment="1">
      <alignment horizontal="center" vertical="center" wrapText="1"/>
    </xf>
    <xf numFmtId="0" fontId="62" fillId="0" borderId="0" xfId="0" applyFont="1" applyFill="1" applyAlignment="1">
      <alignment horizontal="left"/>
    </xf>
    <xf numFmtId="0" fontId="55" fillId="0" borderId="17" xfId="0" applyFont="1" applyFill="1" applyBorder="1" applyAlignment="1">
      <alignment horizontal="center" vertical="center"/>
    </xf>
    <xf numFmtId="0" fontId="25" fillId="0" borderId="0" xfId="0" applyFont="1" applyFill="1" applyAlignment="1">
      <alignment horizontal="left"/>
    </xf>
    <xf numFmtId="0" fontId="55" fillId="0" borderId="2" xfId="0" applyFont="1" applyFill="1" applyBorder="1" applyAlignment="1">
      <alignment horizontal="center" vertical="center" wrapText="1"/>
    </xf>
    <xf numFmtId="164" fontId="55" fillId="0" borderId="4" xfId="1" applyNumberFormat="1" applyFont="1" applyFill="1" applyBorder="1" applyAlignment="1">
      <alignment horizontal="center" vertical="center" wrapText="1"/>
    </xf>
    <xf numFmtId="164" fontId="55" fillId="0" borderId="0" xfId="1" applyNumberFormat="1" applyFont="1" applyFill="1" applyAlignment="1">
      <alignment horizontal="center"/>
    </xf>
    <xf numFmtId="0" fontId="62" fillId="0" borderId="0" xfId="26" applyFont="1" applyFill="1" applyAlignment="1">
      <alignment horizontal="center" vertical="center"/>
    </xf>
    <xf numFmtId="0" fontId="55" fillId="0" borderId="1" xfId="26" applyFont="1" applyFill="1" applyBorder="1" applyAlignment="1">
      <alignment horizontal="center" vertical="center" wrapText="1"/>
    </xf>
    <xf numFmtId="0" fontId="55" fillId="0" borderId="3" xfId="26" applyFont="1" applyFill="1" applyBorder="1" applyAlignment="1">
      <alignment horizontal="center" vertical="center" wrapText="1"/>
    </xf>
    <xf numFmtId="164" fontId="55" fillId="0" borderId="1" xfId="45" applyNumberFormat="1" applyFont="1" applyFill="1" applyBorder="1" applyAlignment="1">
      <alignment horizontal="center" vertical="center" wrapText="1"/>
    </xf>
    <xf numFmtId="164" fontId="55" fillId="0" borderId="3" xfId="45" applyNumberFormat="1" applyFont="1" applyFill="1" applyBorder="1" applyAlignment="1">
      <alignment horizontal="center" vertical="center" wrapText="1"/>
    </xf>
    <xf numFmtId="0" fontId="55" fillId="0" borderId="2" xfId="26" applyFont="1" applyFill="1" applyBorder="1" applyAlignment="1">
      <alignment horizontal="center" vertical="center" wrapText="1"/>
    </xf>
    <xf numFmtId="0" fontId="55" fillId="0" borderId="1" xfId="46" applyFont="1" applyFill="1" applyBorder="1" applyAlignment="1">
      <alignment vertical="center" wrapText="1"/>
    </xf>
    <xf numFmtId="0" fontId="55" fillId="0" borderId="3" xfId="46" applyFont="1" applyFill="1" applyBorder="1" applyAlignment="1">
      <alignment vertical="center" wrapText="1"/>
    </xf>
    <xf numFmtId="0" fontId="55" fillId="0" borderId="1" xfId="46" applyFont="1" applyFill="1" applyBorder="1" applyAlignment="1">
      <alignment horizontal="left" vertical="center" wrapText="1"/>
    </xf>
    <xf numFmtId="0" fontId="55" fillId="0" borderId="3" xfId="46" applyFont="1" applyFill="1" applyBorder="1" applyAlignment="1">
      <alignment horizontal="left" vertical="center" wrapText="1"/>
    </xf>
    <xf numFmtId="0" fontId="55" fillId="0" borderId="1" xfId="46" applyFont="1" applyFill="1" applyBorder="1" applyAlignment="1">
      <alignment horizontal="center" vertical="center" wrapText="1"/>
    </xf>
    <xf numFmtId="0" fontId="55" fillId="0" borderId="3" xfId="46" applyFont="1" applyFill="1" applyBorder="1" applyAlignment="1">
      <alignment horizontal="center" vertical="center" wrapText="1"/>
    </xf>
    <xf numFmtId="0" fontId="62" fillId="0" borderId="0" xfId="26" applyFont="1" applyFill="1" applyAlignment="1">
      <alignment horizontal="left" vertical="center"/>
    </xf>
    <xf numFmtId="0" fontId="55" fillId="0" borderId="2" xfId="46" applyFont="1" applyFill="1" applyBorder="1" applyAlignment="1">
      <alignment vertical="center" wrapText="1"/>
    </xf>
    <xf numFmtId="0" fontId="55" fillId="0" borderId="2" xfId="46" applyFont="1" applyFill="1" applyBorder="1" applyAlignment="1">
      <alignment horizontal="left" vertical="center" wrapText="1"/>
    </xf>
    <xf numFmtId="164" fontId="55" fillId="0" borderId="2" xfId="45" applyNumberFormat="1" applyFont="1" applyFill="1" applyBorder="1" applyAlignment="1">
      <alignment horizontal="center" vertical="center" wrapText="1"/>
    </xf>
    <xf numFmtId="0" fontId="55" fillId="0" borderId="2" xfId="46" applyFont="1" applyFill="1" applyBorder="1" applyAlignment="1">
      <alignment horizontal="center" vertical="center" wrapText="1"/>
    </xf>
    <xf numFmtId="0" fontId="78" fillId="7" borderId="2" xfId="0" applyFont="1" applyFill="1" applyBorder="1" applyAlignment="1">
      <alignment horizontal="center" vertical="center" wrapText="1"/>
    </xf>
    <xf numFmtId="164" fontId="79" fillId="7" borderId="2" xfId="1" applyNumberFormat="1" applyFont="1" applyFill="1" applyBorder="1" applyAlignment="1">
      <alignment horizontal="center"/>
    </xf>
    <xf numFmtId="0" fontId="81" fillId="0" borderId="0" xfId="0" applyFont="1" applyFill="1" applyAlignment="1">
      <alignment horizontal="left" vertical="center" wrapText="1"/>
    </xf>
    <xf numFmtId="0" fontId="82" fillId="0" borderId="0" xfId="0" applyFont="1" applyBorder="1" applyAlignment="1">
      <alignment horizontal="center" vertical="center" wrapText="1"/>
    </xf>
    <xf numFmtId="0" fontId="37" fillId="0" borderId="0" xfId="0" applyFont="1" applyBorder="1" applyAlignment="1">
      <alignment horizontal="center" vertical="center" wrapText="1"/>
    </xf>
    <xf numFmtId="10" fontId="25" fillId="4" borderId="13" xfId="0" applyNumberFormat="1" applyFont="1" applyFill="1" applyBorder="1" applyAlignment="1">
      <alignment horizontal="left" vertical="center"/>
    </xf>
    <xf numFmtId="164" fontId="83" fillId="0" borderId="2" xfId="1" applyNumberFormat="1" applyFont="1" applyBorder="1" applyAlignment="1">
      <alignment horizontal="center" vertical="center"/>
    </xf>
    <xf numFmtId="0" fontId="83" fillId="0" borderId="2" xfId="0" applyFont="1" applyBorder="1" applyAlignment="1">
      <alignment horizontal="center" vertical="center"/>
    </xf>
    <xf numFmtId="0" fontId="83" fillId="0" borderId="1" xfId="0" applyFont="1" applyFill="1" applyBorder="1" applyAlignment="1">
      <alignment horizontal="center" vertical="center" wrapText="1"/>
    </xf>
    <xf numFmtId="0" fontId="83" fillId="0" borderId="3" xfId="0" applyFont="1" applyFill="1" applyBorder="1" applyAlignment="1">
      <alignment horizontal="center" vertical="center" wrapText="1"/>
    </xf>
    <xf numFmtId="0" fontId="83" fillId="0" borderId="24" xfId="0" applyFont="1" applyFill="1" applyBorder="1" applyAlignment="1">
      <alignment horizontal="center"/>
    </xf>
    <xf numFmtId="0" fontId="83" fillId="0" borderId="25" xfId="0" applyFont="1" applyFill="1" applyBorder="1" applyAlignment="1">
      <alignment horizontal="center"/>
    </xf>
    <xf numFmtId="0" fontId="83" fillId="0" borderId="21" xfId="0" applyFont="1" applyFill="1" applyBorder="1" applyAlignment="1">
      <alignment horizontal="center"/>
    </xf>
    <xf numFmtId="164" fontId="1" fillId="4" borderId="22" xfId="39" applyNumberFormat="1" applyFont="1" applyFill="1" applyBorder="1"/>
    <xf numFmtId="165" fontId="73" fillId="4" borderId="14" xfId="39" applyNumberFormat="1" applyFont="1" applyFill="1" applyBorder="1"/>
    <xf numFmtId="164" fontId="1" fillId="4" borderId="14" xfId="39" applyNumberFormat="1" applyFont="1" applyFill="1" applyBorder="1"/>
    <xf numFmtId="43" fontId="73" fillId="4" borderId="14" xfId="39" applyFont="1" applyFill="1" applyBorder="1"/>
    <xf numFmtId="164" fontId="73" fillId="4" borderId="23" xfId="39" applyNumberFormat="1" applyFont="1" applyFill="1" applyBorder="1"/>
    <xf numFmtId="165" fontId="73" fillId="4" borderId="23" xfId="39" applyNumberFormat="1" applyFont="1" applyFill="1" applyBorder="1"/>
    <xf numFmtId="164" fontId="1" fillId="4" borderId="23" xfId="39" applyNumberFormat="1" applyFont="1" applyFill="1" applyBorder="1"/>
    <xf numFmtId="43" fontId="73" fillId="4" borderId="23" xfId="39" applyFont="1" applyFill="1" applyBorder="1"/>
    <xf numFmtId="10" fontId="25" fillId="4" borderId="2" xfId="0" applyNumberFormat="1" applyFont="1" applyFill="1" applyBorder="1" applyAlignment="1">
      <alignment horizontal="left" vertical="center"/>
    </xf>
    <xf numFmtId="164" fontId="63" fillId="0" borderId="2" xfId="1" applyNumberFormat="1" applyFont="1" applyFill="1" applyBorder="1" applyAlignment="1">
      <alignment horizontal="center"/>
    </xf>
    <xf numFmtId="164" fontId="35" fillId="0" borderId="2" xfId="1" applyNumberFormat="1" applyFont="1" applyBorder="1"/>
    <xf numFmtId="164" fontId="35" fillId="2" borderId="2" xfId="0" applyNumberFormat="1" applyFont="1" applyFill="1" applyBorder="1" applyAlignment="1">
      <alignment horizontal="center" vertical="center" wrapText="1"/>
    </xf>
    <xf numFmtId="164" fontId="35" fillId="5" borderId="2" xfId="1" applyNumberFormat="1" applyFont="1" applyFill="1" applyBorder="1" applyAlignment="1">
      <alignment vertical="center"/>
    </xf>
    <xf numFmtId="164" fontId="7" fillId="0" borderId="2" xfId="0" applyNumberFormat="1" applyFont="1" applyBorder="1" applyAlignment="1">
      <alignment vertical="center"/>
    </xf>
    <xf numFmtId="3" fontId="7" fillId="0" borderId="2" xfId="0" applyNumberFormat="1" applyFont="1" applyBorder="1" applyAlignment="1"/>
    <xf numFmtId="164" fontId="35" fillId="0" borderId="2" xfId="1" applyNumberFormat="1" applyFont="1" applyFill="1" applyBorder="1" applyAlignment="1">
      <alignment vertical="center"/>
    </xf>
    <xf numFmtId="164" fontId="7" fillId="0" borderId="24" xfId="0" applyNumberFormat="1" applyFont="1" applyBorder="1" applyAlignment="1">
      <alignment vertical="center" wrapText="1"/>
    </xf>
    <xf numFmtId="164" fontId="35" fillId="0" borderId="21" xfId="0" applyNumberFormat="1" applyFont="1" applyBorder="1" applyAlignment="1">
      <alignment vertical="center"/>
    </xf>
    <xf numFmtId="3" fontId="35" fillId="2" borderId="2" xfId="8" applyNumberFormat="1" applyFont="1" applyFill="1" applyBorder="1" applyAlignment="1">
      <alignment horizontal="center" vertical="center" wrapText="1"/>
    </xf>
    <xf numFmtId="166" fontId="7" fillId="0" borderId="2" xfId="1" applyNumberFormat="1" applyFont="1" applyFill="1" applyBorder="1" applyAlignment="1">
      <alignment vertical="center"/>
    </xf>
    <xf numFmtId="164" fontId="35" fillId="0" borderId="2" xfId="0" applyNumberFormat="1" applyFont="1" applyBorder="1"/>
    <xf numFmtId="3" fontId="84" fillId="0" borderId="23" xfId="0" applyNumberFormat="1" applyFont="1" applyBorder="1" applyAlignment="1">
      <alignment horizontal="right"/>
    </xf>
    <xf numFmtId="3" fontId="7" fillId="0" borderId="2" xfId="1" applyNumberFormat="1" applyFont="1" applyBorder="1" applyAlignment="1">
      <alignment vertical="center" wrapText="1"/>
    </xf>
    <xf numFmtId="3" fontId="7" fillId="0" borderId="2" xfId="1" applyNumberFormat="1" applyFont="1" applyBorder="1" applyAlignment="1">
      <alignment horizontal="center" vertical="center" wrapText="1"/>
    </xf>
    <xf numFmtId="168" fontId="35" fillId="0" borderId="2" xfId="0" applyNumberFormat="1" applyFont="1" applyBorder="1" applyAlignment="1">
      <alignment horizontal="center" vertical="center"/>
    </xf>
    <xf numFmtId="169" fontId="35" fillId="0" borderId="2" xfId="0" applyNumberFormat="1" applyFont="1" applyFill="1" applyBorder="1" applyAlignment="1">
      <alignment horizontal="right" vertical="center"/>
    </xf>
    <xf numFmtId="3" fontId="35" fillId="2" borderId="2" xfId="0" applyNumberFormat="1" applyFont="1" applyFill="1" applyBorder="1" applyAlignment="1">
      <alignment vertical="center" wrapText="1"/>
    </xf>
    <xf numFmtId="164" fontId="7" fillId="0" borderId="21" xfId="0" applyNumberFormat="1" applyFont="1" applyBorder="1" applyAlignment="1">
      <alignment vertical="center"/>
    </xf>
    <xf numFmtId="164" fontId="7" fillId="0" borderId="2" xfId="0" applyNumberFormat="1" applyFont="1" applyBorder="1" applyAlignment="1">
      <alignment vertical="center" wrapText="1"/>
    </xf>
    <xf numFmtId="164" fontId="35" fillId="0" borderId="2" xfId="0" applyNumberFormat="1" applyFont="1" applyBorder="1" applyAlignment="1">
      <alignment vertical="center"/>
    </xf>
    <xf numFmtId="3" fontId="35" fillId="2" borderId="2" xfId="0" applyNumberFormat="1" applyFont="1" applyFill="1" applyBorder="1" applyAlignment="1">
      <alignment horizontal="right" vertical="top" wrapText="1"/>
    </xf>
    <xf numFmtId="166" fontId="35" fillId="0" borderId="2" xfId="1" applyNumberFormat="1" applyFont="1" applyFill="1" applyBorder="1" applyAlignment="1">
      <alignment vertical="center" wrapText="1"/>
    </xf>
    <xf numFmtId="164" fontId="84" fillId="0" borderId="2" xfId="1" applyNumberFormat="1" applyFont="1" applyFill="1" applyBorder="1" applyAlignment="1">
      <alignment horizontal="center" vertical="center"/>
    </xf>
    <xf numFmtId="170" fontId="7" fillId="0" borderId="2" xfId="0" applyNumberFormat="1" applyFont="1" applyBorder="1" applyAlignment="1"/>
    <xf numFmtId="3" fontId="7" fillId="0" borderId="2" xfId="0" applyNumberFormat="1" applyFont="1" applyBorder="1" applyAlignment="1">
      <alignment horizontal="center" wrapText="1"/>
    </xf>
    <xf numFmtId="166" fontId="7" fillId="0" borderId="2" xfId="1" applyNumberFormat="1" applyFont="1" applyBorder="1" applyAlignment="1">
      <alignment horizontal="right" vertical="top" wrapText="1"/>
    </xf>
    <xf numFmtId="3" fontId="35" fillId="0" borderId="2" xfId="0" applyNumberFormat="1" applyFont="1" applyFill="1" applyBorder="1" applyAlignment="1">
      <alignment horizontal="center" vertical="top" wrapText="1"/>
    </xf>
    <xf numFmtId="41" fontId="35" fillId="0" borderId="2" xfId="0" applyNumberFormat="1" applyFont="1" applyFill="1" applyBorder="1" applyAlignment="1">
      <alignment vertical="center" wrapText="1"/>
    </xf>
    <xf numFmtId="170" fontId="7" fillId="0" borderId="2" xfId="0" applyNumberFormat="1" applyFont="1" applyBorder="1" applyAlignment="1">
      <alignment horizontal="right" vertical="center"/>
    </xf>
    <xf numFmtId="3" fontId="85" fillId="0" borderId="2" xfId="0" applyNumberFormat="1" applyFont="1" applyBorder="1" applyAlignment="1">
      <alignment vertical="center" wrapText="1"/>
    </xf>
    <xf numFmtId="3" fontId="35" fillId="0" borderId="3" xfId="0" applyNumberFormat="1" applyFont="1" applyBorder="1" applyAlignment="1">
      <alignment horizontal="right" vertical="center" wrapText="1"/>
    </xf>
    <xf numFmtId="164" fontId="35" fillId="0" borderId="23" xfId="20" applyNumberFormat="1" applyFont="1" applyFill="1" applyBorder="1" applyAlignment="1">
      <alignment vertical="center" wrapText="1"/>
    </xf>
    <xf numFmtId="166" fontId="7" fillId="0" borderId="2" xfId="0" applyNumberFormat="1" applyFont="1" applyBorder="1" applyAlignment="1">
      <alignment vertical="center" wrapText="1"/>
    </xf>
    <xf numFmtId="3" fontId="35" fillId="0" borderId="23" xfId="0" applyNumberFormat="1" applyFont="1" applyFill="1" applyBorder="1" applyAlignment="1">
      <alignment vertical="center" wrapText="1"/>
    </xf>
    <xf numFmtId="3" fontId="35" fillId="0" borderId="2" xfId="0" applyNumberFormat="1" applyFont="1" applyFill="1" applyBorder="1" applyAlignment="1">
      <alignment vertical="center"/>
    </xf>
    <xf numFmtId="164" fontId="85" fillId="0" borderId="2" xfId="1" applyNumberFormat="1" applyFont="1" applyFill="1" applyBorder="1" applyAlignment="1">
      <alignment vertical="center" wrapText="1"/>
    </xf>
    <xf numFmtId="166" fontId="7" fillId="0" borderId="2" xfId="0" applyNumberFormat="1" applyFont="1" applyBorder="1" applyAlignment="1">
      <alignment horizontal="right" vertical="center" wrapText="1"/>
    </xf>
    <xf numFmtId="166" fontId="7" fillId="0" borderId="2" xfId="1" applyNumberFormat="1" applyFont="1" applyBorder="1" applyAlignment="1">
      <alignment vertical="center" wrapText="1"/>
    </xf>
    <xf numFmtId="164" fontId="6" fillId="0" borderId="0" xfId="1" applyNumberFormat="1" applyFont="1" applyFill="1" applyAlignment="1">
      <alignment vertical="center" wrapText="1"/>
    </xf>
    <xf numFmtId="164" fontId="83" fillId="0" borderId="1" xfId="1" applyNumberFormat="1" applyFont="1" applyBorder="1" applyAlignment="1">
      <alignment vertical="center" wrapText="1"/>
    </xf>
    <xf numFmtId="164" fontId="83" fillId="0" borderId="3" xfId="1" applyNumberFormat="1" applyFont="1" applyBorder="1" applyAlignment="1">
      <alignment vertical="center" wrapText="1"/>
    </xf>
    <xf numFmtId="164" fontId="8" fillId="0" borderId="0" xfId="1" applyNumberFormat="1" applyFont="1" applyAlignment="1">
      <alignment vertical="center" wrapText="1"/>
    </xf>
    <xf numFmtId="164" fontId="8" fillId="0" borderId="0" xfId="1" applyNumberFormat="1" applyFont="1" applyBorder="1" applyAlignment="1">
      <alignment vertical="center" wrapText="1"/>
    </xf>
    <xf numFmtId="164" fontId="6" fillId="4" borderId="0" xfId="1" applyNumberFormat="1" applyFont="1" applyFill="1" applyAlignment="1">
      <alignment vertical="center" wrapText="1"/>
    </xf>
    <xf numFmtId="164" fontId="6" fillId="2" borderId="0" xfId="1" applyNumberFormat="1" applyFont="1" applyFill="1" applyAlignment="1">
      <alignment vertical="center" wrapText="1"/>
    </xf>
    <xf numFmtId="164" fontId="9" fillId="0" borderId="13" xfId="1" applyNumberFormat="1" applyFont="1" applyBorder="1" applyAlignment="1">
      <alignment vertical="center" wrapText="1"/>
    </xf>
    <xf numFmtId="164" fontId="9" fillId="0" borderId="14" xfId="1" applyNumberFormat="1" applyFont="1" applyBorder="1" applyAlignment="1">
      <alignment vertical="center" wrapText="1"/>
    </xf>
    <xf numFmtId="164" fontId="9" fillId="4" borderId="14" xfId="1" applyNumberFormat="1" applyFont="1" applyFill="1" applyBorder="1" applyAlignment="1">
      <alignment vertical="center" wrapText="1"/>
    </xf>
    <xf numFmtId="164" fontId="9" fillId="0" borderId="15" xfId="1" applyNumberFormat="1" applyFont="1" applyBorder="1" applyAlignment="1">
      <alignment vertical="center" wrapText="1"/>
    </xf>
    <xf numFmtId="0" fontId="8" fillId="0" borderId="0" xfId="0" applyFont="1" applyAlignment="1">
      <alignment vertical="center" wrapText="1"/>
    </xf>
    <xf numFmtId="0" fontId="6" fillId="2" borderId="0" xfId="0" applyFont="1" applyFill="1" applyAlignment="1">
      <alignment vertical="center" wrapText="1"/>
    </xf>
    <xf numFmtId="164" fontId="8" fillId="0" borderId="0" xfId="1" applyNumberFormat="1" applyFont="1" applyFill="1" applyAlignment="1">
      <alignment vertical="center" wrapText="1"/>
    </xf>
    <xf numFmtId="164" fontId="73" fillId="4" borderId="22" xfId="39" applyNumberFormat="1" applyFont="1" applyFill="1" applyBorder="1" applyAlignment="1">
      <alignment vertical="center" wrapText="1"/>
    </xf>
    <xf numFmtId="0" fontId="63" fillId="0" borderId="2" xfId="0" applyFont="1" applyBorder="1" applyAlignment="1">
      <alignment vertical="center" wrapText="1"/>
    </xf>
    <xf numFmtId="164" fontId="73" fillId="4" borderId="13" xfId="39" applyNumberFormat="1" applyFont="1" applyFill="1" applyBorder="1" applyAlignment="1">
      <alignment vertical="center" wrapText="1"/>
    </xf>
    <xf numFmtId="164" fontId="73" fillId="4" borderId="2" xfId="39" applyNumberFormat="1" applyFont="1" applyFill="1" applyBorder="1" applyAlignment="1">
      <alignment vertical="center" wrapText="1"/>
    </xf>
    <xf numFmtId="164" fontId="7" fillId="0" borderId="0" xfId="1" applyNumberFormat="1" applyFont="1" applyAlignment="1">
      <alignment vertical="center" wrapText="1"/>
    </xf>
    <xf numFmtId="10" fontId="25" fillId="4" borderId="22" xfId="0" applyNumberFormat="1" applyFont="1" applyFill="1" applyBorder="1" applyAlignment="1">
      <alignment horizontal="left" vertical="center" wrapText="1"/>
    </xf>
    <xf numFmtId="164" fontId="73" fillId="4" borderId="22" xfId="39" applyNumberFormat="1" applyFont="1" applyFill="1" applyBorder="1" applyAlignment="1">
      <alignment wrapText="1"/>
    </xf>
    <xf numFmtId="165" fontId="73" fillId="4" borderId="22" xfId="39" applyNumberFormat="1" applyFont="1" applyFill="1" applyBorder="1" applyAlignment="1">
      <alignment wrapText="1"/>
    </xf>
    <xf numFmtId="164" fontId="1" fillId="4" borderId="22" xfId="39" applyNumberFormat="1" applyFont="1" applyFill="1" applyBorder="1" applyAlignment="1">
      <alignment wrapText="1"/>
    </xf>
    <xf numFmtId="43" fontId="73" fillId="4" borderId="22" xfId="39" applyFont="1" applyFill="1" applyBorder="1" applyAlignment="1">
      <alignment wrapText="1"/>
    </xf>
    <xf numFmtId="10" fontId="25" fillId="4" borderId="14" xfId="0" applyNumberFormat="1" applyFont="1" applyFill="1" applyBorder="1" applyAlignment="1">
      <alignment horizontal="left" vertical="center" wrapText="1"/>
    </xf>
    <xf numFmtId="164" fontId="73" fillId="4" borderId="14" xfId="39" applyNumberFormat="1" applyFont="1" applyFill="1" applyBorder="1" applyAlignment="1">
      <alignment vertical="center" wrapText="1"/>
    </xf>
    <xf numFmtId="164" fontId="73" fillId="4" borderId="14" xfId="39" applyNumberFormat="1" applyFont="1" applyFill="1" applyBorder="1" applyAlignment="1">
      <alignment wrapText="1"/>
    </xf>
    <xf numFmtId="165" fontId="73" fillId="4" borderId="14" xfId="39" applyNumberFormat="1" applyFont="1" applyFill="1" applyBorder="1" applyAlignment="1">
      <alignment wrapText="1"/>
    </xf>
    <xf numFmtId="164" fontId="1" fillId="4" borderId="14" xfId="39" applyNumberFormat="1" applyFont="1" applyFill="1" applyBorder="1" applyAlignment="1">
      <alignment wrapText="1"/>
    </xf>
    <xf numFmtId="43" fontId="73" fillId="4" borderId="14" xfId="39" applyFont="1" applyFill="1" applyBorder="1" applyAlignment="1">
      <alignment wrapText="1"/>
    </xf>
    <xf numFmtId="10" fontId="25" fillId="4" borderId="23" xfId="0" applyNumberFormat="1" applyFont="1" applyFill="1" applyBorder="1" applyAlignment="1">
      <alignment horizontal="left" vertical="center" wrapText="1"/>
    </xf>
    <xf numFmtId="164" fontId="73" fillId="4" borderId="23" xfId="39" applyNumberFormat="1" applyFont="1" applyFill="1" applyBorder="1" applyAlignment="1">
      <alignment vertical="center" wrapText="1"/>
    </xf>
    <xf numFmtId="164" fontId="73" fillId="4" borderId="23" xfId="39" applyNumberFormat="1" applyFont="1" applyFill="1" applyBorder="1" applyAlignment="1">
      <alignment wrapText="1"/>
    </xf>
    <xf numFmtId="165" fontId="73" fillId="4" borderId="23" xfId="39" applyNumberFormat="1" applyFont="1" applyFill="1" applyBorder="1" applyAlignment="1">
      <alignment wrapText="1"/>
    </xf>
    <xf numFmtId="164" fontId="1" fillId="4" borderId="23" xfId="39" applyNumberFormat="1" applyFont="1" applyFill="1" applyBorder="1" applyAlignment="1">
      <alignment wrapText="1"/>
    </xf>
    <xf numFmtId="43" fontId="73" fillId="4" borderId="23" xfId="39" applyFont="1" applyFill="1" applyBorder="1" applyAlignment="1">
      <alignment wrapText="1"/>
    </xf>
  </cellXfs>
  <cellStyles count="47">
    <cellStyle name="Comma" xfId="1" builtinId="3"/>
    <cellStyle name="Comma [0]" xfId="2" builtinId="6"/>
    <cellStyle name="Comma 2" xfId="28"/>
    <cellStyle name="Comma 3" xfId="21"/>
    <cellStyle name="Comma 4" xfId="39"/>
    <cellStyle name="Comma 5" xfId="45"/>
    <cellStyle name="Currency" xfId="3" builtinId="4"/>
    <cellStyle name="Ledger 17 x 11 in" xfId="31"/>
    <cellStyle name="Ledger 17 x 11 in 4" xfId="11"/>
    <cellStyle name="Normal" xfId="0" builtinId="0"/>
    <cellStyle name="Normal 11" xfId="34"/>
    <cellStyle name="Normal 12" xfId="13"/>
    <cellStyle name="Normal 13" xfId="12"/>
    <cellStyle name="Normal 14" xfId="14"/>
    <cellStyle name="Normal 15" xfId="15"/>
    <cellStyle name="Normal 16" xfId="16"/>
    <cellStyle name="Normal 17" xfId="18"/>
    <cellStyle name="Normal 18" xfId="17"/>
    <cellStyle name="Normal 2" xfId="5"/>
    <cellStyle name="Normal 2 14" xfId="29"/>
    <cellStyle name="Normal 2 2" xfId="32"/>
    <cellStyle name="Normal 2 3" xfId="24"/>
    <cellStyle name="Normal 2 3 2" xfId="25"/>
    <cellStyle name="Normal 24" xfId="27"/>
    <cellStyle name="Normal 3" xfId="19"/>
    <cellStyle name="Normal 38" xfId="35"/>
    <cellStyle name="Normal 4" xfId="23"/>
    <cellStyle name="Normal 4 2" xfId="38"/>
    <cellStyle name="Normal 5" xfId="9"/>
    <cellStyle name="Normal 6" xfId="10"/>
    <cellStyle name="Normal 6_VTTH_06.6 sua 1" xfId="40"/>
    <cellStyle name="Normal 7" xfId="26"/>
    <cellStyle name="Normal 8" xfId="22"/>
    <cellStyle name="Normal_Architect_1" xfId="36"/>
    <cellStyle name="Normal_cobas 8000 order list_BBI (28-Jun-2010)" xfId="42"/>
    <cellStyle name="Normal_Delta Price List wef Mar 1, 07" xfId="37"/>
    <cellStyle name="Normal_DM YDC form chuan 2013" xfId="6"/>
    <cellStyle name="Normal_FY2011 June_SG SPC and TP info" xfId="41"/>
    <cellStyle name="Normal_GÓI 8" xfId="20"/>
    <cellStyle name="Normal_GÓI 8_gói3.mới" xfId="44"/>
    <cellStyle name="Normal_GÓI 8_gói3-16-17" xfId="46"/>
    <cellStyle name="Normal_goi1,mới" xfId="30"/>
    <cellStyle name="Normal_gói3.mới" xfId="43"/>
    <cellStyle name="Normal_Sheet1" xfId="7"/>
    <cellStyle name="Normal_Sheet1_1" xfId="4"/>
    <cellStyle name="Style 1" xfId="8"/>
    <cellStyle name="標準_Reagents prices 26-03-2004" xfId="33"/>
  </cellStyles>
  <dxfs count="211">
    <dxf>
      <fill>
        <patternFill>
          <bgColor rgb="FFFF0000"/>
        </patternFill>
      </fill>
    </dxf>
    <dxf>
      <fill>
        <patternFill>
          <bgColor rgb="FFFFFF00"/>
        </patternFill>
      </fill>
    </dxf>
    <dxf>
      <fill>
        <patternFill>
          <bgColor theme="8" tint="0.59996337778862885"/>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8" tint="0.59996337778862885"/>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8" tint="0.59996337778862885"/>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8" tint="0.59996337778862885"/>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8" tint="0.59996337778862885"/>
        </patternFill>
      </fill>
    </dxf>
    <dxf>
      <fill>
        <patternFill>
          <bgColor rgb="FFFFFF00"/>
        </patternFill>
      </fill>
    </dxf>
    <dxf>
      <fill>
        <patternFill>
          <bgColor rgb="FFFF0000"/>
        </patternFill>
      </fill>
    </dxf>
    <dxf>
      <fill>
        <patternFill>
          <bgColor rgb="FFFFFF00"/>
        </patternFill>
      </fill>
    </dxf>
    <dxf>
      <fill>
        <patternFill>
          <bgColor theme="8" tint="0.59996337778862885"/>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8" tint="0.59996337778862885"/>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8" tint="0.59996337778862885"/>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8" tint="0.59996337778862885"/>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8" tint="0.59996337778862885"/>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8" tint="0.59996337778862885"/>
        </patternFill>
      </fill>
    </dxf>
    <dxf>
      <fill>
        <patternFill>
          <bgColor rgb="FFFFFF00"/>
        </patternFill>
      </fill>
    </dxf>
    <dxf>
      <fill>
        <patternFill>
          <bgColor rgb="FFFF0000"/>
        </patternFill>
      </fill>
    </dxf>
    <dxf>
      <fill>
        <patternFill>
          <bgColor rgb="FFFFFF00"/>
        </patternFill>
      </fill>
    </dxf>
    <dxf>
      <fill>
        <patternFill>
          <bgColor theme="8" tint="0.59996337778862885"/>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8" tint="0.59996337778862885"/>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8" tint="0.59996337778862885"/>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8" tint="0.59996337778862885"/>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8" tint="0.59996337778862885"/>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8" tint="0.59996337778862885"/>
        </patternFill>
      </fill>
    </dxf>
    <dxf>
      <fill>
        <patternFill>
          <bgColor rgb="FFFFFF00"/>
        </patternFill>
      </fill>
    </dxf>
    <dxf>
      <fill>
        <patternFill>
          <bgColor rgb="FFFF0000"/>
        </patternFill>
      </fill>
    </dxf>
    <dxf>
      <fill>
        <patternFill>
          <bgColor rgb="FFFFFF00"/>
        </patternFill>
      </fill>
    </dxf>
    <dxf>
      <fill>
        <patternFill>
          <bgColor theme="8" tint="0.59996337778862885"/>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8" tint="0.59996337778862885"/>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8" tint="0.59996337778862885"/>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8" tint="0.59996337778862885"/>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8" tint="0.59996337778862885"/>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8" tint="0.59996337778862885"/>
        </patternFill>
      </fill>
    </dxf>
    <dxf>
      <fill>
        <patternFill>
          <bgColor rgb="FFFFFF00"/>
        </patternFill>
      </fill>
    </dxf>
    <dxf>
      <fill>
        <patternFill>
          <bgColor rgb="FFFF0000"/>
        </patternFill>
      </fill>
    </dxf>
    <dxf>
      <fill>
        <patternFill>
          <bgColor rgb="FFFFFF00"/>
        </patternFill>
      </fill>
    </dxf>
    <dxf>
      <fill>
        <patternFill>
          <bgColor theme="8" tint="0.59996337778862885"/>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8" tint="0.59996337778862885"/>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8" tint="0.59996337778862885"/>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8" tint="0.59996337778862885"/>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8" tint="0.59996337778862885"/>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8" tint="0.59996337778862885"/>
        </patternFill>
      </fill>
    </dxf>
    <dxf>
      <fill>
        <patternFill>
          <bgColor rgb="FFFFFF00"/>
        </patternFill>
      </fill>
    </dxf>
    <dxf>
      <fill>
        <patternFill>
          <bgColor rgb="FFFF0000"/>
        </patternFill>
      </fill>
    </dxf>
    <dxf>
      <fill>
        <patternFill>
          <bgColor rgb="FFFFFF00"/>
        </patternFill>
      </fill>
    </dxf>
    <dxf>
      <fill>
        <patternFill>
          <bgColor theme="8" tint="0.59996337778862885"/>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8" tint="0.59996337778862885"/>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8" tint="0.59996337778862885"/>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8" tint="0.59996337778862885"/>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8" tint="0.59996337778862885"/>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8" tint="0.59996337778862885"/>
        </patternFill>
      </fill>
    </dxf>
    <dxf>
      <fill>
        <patternFill>
          <bgColor rgb="FFFFFF00"/>
        </patternFill>
      </fill>
    </dxf>
    <dxf>
      <fill>
        <patternFill>
          <bgColor rgb="FFFF0000"/>
        </patternFill>
      </fill>
    </dxf>
    <dxf>
      <fill>
        <patternFill>
          <bgColor rgb="FFFFFF00"/>
        </patternFill>
      </fill>
    </dxf>
    <dxf>
      <fill>
        <patternFill>
          <bgColor theme="8" tint="0.59996337778862885"/>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8" tint="0.59996337778862885"/>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8" tint="0.59996337778862885"/>
        </patternFill>
      </fill>
    </dxf>
    <dxf>
      <fill>
        <patternFill>
          <bgColor rgb="FFFFFF00"/>
        </patternFill>
      </fill>
    </dxf>
    <dxf>
      <fill>
        <patternFill>
          <bgColor rgb="FFFF0000"/>
        </patternFill>
      </fill>
    </dxf>
    <dxf>
      <fill>
        <patternFill>
          <bgColor indexed="47"/>
        </patternFill>
      </fill>
    </dxf>
    <dxf>
      <fill>
        <patternFill>
          <bgColor indexed="47"/>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38100</xdr:colOff>
      <xdr:row>0</xdr:row>
      <xdr:rowOff>33528</xdr:rowOff>
    </xdr:to>
    <xdr:pic>
      <xdr:nvPicPr>
        <xdr:cNvPr id="2" name="Picture 66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 name="Picture 66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 name="Picture 66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 name="Picture 66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6" name="Picture 66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7" name="Picture 67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8" name="Picture 67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9" name="Picture 67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0" name="Picture 67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1" name="Picture 67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2" name="Picture 67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3" name="Picture 67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4" name="Picture 67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5" name="Picture 67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6" name="Picture 67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7" name="Picture 68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8" name="Picture 68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9" name="Picture 68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0" name="Picture 68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1" name="Picture 68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2" name="Picture 68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3" name="Picture 68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4" name="Picture 68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5" name="Picture 68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6" name="Picture 68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7" name="Picture 69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8" name="Picture 69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9" name="Picture 69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0" name="Picture 69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1" name="Picture 69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2" name="Picture 69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3" name="Picture 69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4" name="Picture 69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5" name="Picture 69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6" name="Picture 69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7" name="Picture 70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8" name="Picture 70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9" name="Picture 70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0" name="Picture 70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1" name="Picture 70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2" name="Picture 70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3" name="Picture 70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4" name="Picture 70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5" name="Picture 70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6" name="Picture 70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7" name="Picture 71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8" name="Picture 71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9" name="Picture 71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0" name="Picture 71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1" name="Picture 71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2" name="Picture 71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3" name="Picture 71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4" name="Picture 71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5" name="Picture 71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6" name="Picture 71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7" name="Picture 72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8" name="Picture 72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9" name="Picture 72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60" name="Picture 72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61" name="Picture 72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62" name="Picture 72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63" name="Picture 72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64" name="Picture 73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65" name="Picture 73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66" name="Picture 73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67" name="Picture 73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68" name="Picture 73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69" name="Picture 73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70" name="Picture 73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71" name="Picture 73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72" name="Picture 73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73" name="Picture 22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74" name="Picture 22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75" name="Picture 22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76" name="Picture 22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77" name="Picture 22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78" name="Picture 22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79" name="Picture 22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80" name="Picture 23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81" name="Picture 23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82" name="Picture 23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83" name="Picture 23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84" name="Picture 23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85" name="Picture 23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86" name="Picture 23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87" name="Picture 23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88" name="Picture 23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89" name="Picture 23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90" name="Picture 24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91" name="Picture 24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92" name="Picture 24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93" name="Picture 24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94" name="Picture 24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95" name="Picture 24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96" name="Picture 24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97" name="Picture 24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98" name="Picture 24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99" name="Picture 24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00" name="Picture 25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01" name="Picture 25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02" name="Picture 25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03" name="Picture 25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04" name="Picture 25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05" name="Picture 25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06" name="Picture 25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07" name="Picture 25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08" name="Picture 25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09" name="Picture 25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10" name="Picture 26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11" name="Picture 26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12" name="Picture 26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13" name="Picture 26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14" name="Picture 26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15" name="Picture 26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16" name="Picture 26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17" name="Picture 26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18" name="Picture 26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19" name="Picture 26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20" name="Picture 27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21" name="Picture 27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22" name="Picture 27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23" name="Picture 27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24" name="Picture 27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25" name="Picture 27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26" name="Picture 27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27" name="Picture 27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28" name="Picture 27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29" name="Picture 27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30" name="Picture 28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31" name="Picture 28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32" name="Picture 28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33" name="Picture 28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34" name="Picture 28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35" name="Picture 28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36" name="Picture 28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37" name="Picture 28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38" name="Picture 28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39" name="Picture 28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40" name="Picture 29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41" name="Picture 29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42" name="Picture 29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43" name="Picture 40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44" name="Picture 40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45" name="Picture 40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46" name="Picture 41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47" name="Picture 41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48" name="Picture 41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49" name="Picture 41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50" name="Picture 41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51" name="Picture 41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52" name="Picture 41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53" name="Picture 41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54" name="Picture 41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55" name="Picture 41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56" name="Picture 42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57" name="Picture 42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58" name="Picture 42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59" name="Picture 42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60" name="Picture 42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61" name="Picture 42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62" name="Picture 42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63" name="Picture 42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64" name="Picture 42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65" name="Picture 42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66" name="Picture 43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67" name="Picture 43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68" name="Picture 43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69" name="Picture 43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70" name="Picture 43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71" name="Picture 43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72" name="Picture 43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73" name="Picture 43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74" name="Picture 43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75" name="Picture 43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76" name="Picture 44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77" name="Picture 44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78" name="Picture 44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79" name="Picture 44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80" name="Picture 44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81" name="Picture 44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82" name="Picture 44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83" name="Picture 44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84" name="Picture 44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85" name="Picture 44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86" name="Picture 45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87" name="Picture 45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88" name="Picture 45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89" name="Picture 45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90" name="Picture 45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91" name="Picture 45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92" name="Picture 45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93" name="Picture 45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94" name="Picture 45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95" name="Picture 45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96" name="Picture 46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97" name="Picture 46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98" name="Picture 46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199" name="Picture 46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00" name="Picture 46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01" name="Picture 46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02" name="Picture 46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03" name="Picture 46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04" name="Picture 46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05" name="Picture 46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06" name="Picture 47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07" name="Picture 47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08" name="Picture 47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09" name="Picture 47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10" name="Picture 47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11" name="Picture 47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12" name="Picture 47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13" name="Picture 66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14" name="Picture 66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15" name="Picture 66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16" name="Picture 66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17" name="Picture 66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18" name="Picture 67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19" name="Picture 67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20" name="Picture 67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21" name="Picture 67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22" name="Picture 67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23" name="Picture 67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24" name="Picture 67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25" name="Picture 67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26" name="Picture 67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27" name="Picture 67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28" name="Picture 68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29" name="Picture 68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30" name="Picture 68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31" name="Picture 68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32" name="Picture 68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33" name="Picture 68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34" name="Picture 68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35" name="Picture 68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36" name="Picture 68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37" name="Picture 68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38" name="Picture 69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39" name="Picture 69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40" name="Picture 69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41" name="Picture 69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42" name="Picture 69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43" name="Picture 69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44" name="Picture 69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45" name="Picture 69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46" name="Picture 69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47" name="Picture 69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48" name="Picture 70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49" name="Picture 70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50" name="Picture 70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51" name="Picture 70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52" name="Picture 70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53" name="Picture 70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54" name="Picture 70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55" name="Picture 70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56" name="Picture 70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57" name="Picture 70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58" name="Picture 71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59" name="Picture 71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60" name="Picture 71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61" name="Picture 71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62" name="Picture 71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63" name="Picture 71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64" name="Picture 71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65" name="Picture 71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66" name="Picture 71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67" name="Picture 71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68" name="Picture 72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69" name="Picture 72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70" name="Picture 72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71" name="Picture 72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72" name="Picture 72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73" name="Picture 72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74" name="Picture 72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75" name="Picture 73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76" name="Picture 73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77" name="Picture 73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78" name="Picture 73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79" name="Picture 73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80" name="Picture 73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81" name="Picture 73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82" name="Picture 73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83" name="Picture 73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84" name="Picture 66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85" name="Picture 66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86" name="Picture 66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87" name="Picture 66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88" name="Picture 66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89" name="Picture 67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90" name="Picture 67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91" name="Picture 67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92" name="Picture 67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93" name="Picture 67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94" name="Picture 67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95" name="Picture 67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96" name="Picture 67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97" name="Picture 67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98" name="Picture 67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299" name="Picture 68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00" name="Picture 68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01" name="Picture 68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02" name="Picture 68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03" name="Picture 68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04" name="Picture 68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05" name="Picture 68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06" name="Picture 68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07" name="Picture 68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08" name="Picture 68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09" name="Picture 69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10" name="Picture 69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11" name="Picture 69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12" name="Picture 69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13" name="Picture 69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14" name="Picture 69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15" name="Picture 69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16" name="Picture 69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17" name="Picture 69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18" name="Picture 69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19" name="Picture 70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20" name="Picture 70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21" name="Picture 70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22" name="Picture 70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23" name="Picture 70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24" name="Picture 70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25" name="Picture 70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26" name="Picture 70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27" name="Picture 70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28" name="Picture 70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29" name="Picture 71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30" name="Picture 71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31" name="Picture 71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32" name="Picture 71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33" name="Picture 71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34" name="Picture 71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35" name="Picture 71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36" name="Picture 71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37" name="Picture 71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38" name="Picture 71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39" name="Picture 72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40" name="Picture 72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41" name="Picture 72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42" name="Picture 72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43" name="Picture 72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44" name="Picture 72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45" name="Picture 72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46" name="Picture 73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47" name="Picture 73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48" name="Picture 73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49" name="Picture 73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50" name="Picture 73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51" name="Picture 73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52" name="Picture 73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53" name="Picture 73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54" name="Picture 73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55" name="Picture 22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56" name="Picture 22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57" name="Picture 22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58" name="Picture 22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59" name="Picture 22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60" name="Picture 22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61" name="Picture 22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62" name="Picture 23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63" name="Picture 23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64" name="Picture 23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65" name="Picture 23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66" name="Picture 23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67" name="Picture 23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68" name="Picture 23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69" name="Picture 23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70" name="Picture 23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71" name="Picture 23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72" name="Picture 24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73" name="Picture 24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74" name="Picture 24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75" name="Picture 24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76" name="Picture 24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77" name="Picture 24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78" name="Picture 24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79" name="Picture 24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80" name="Picture 24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81" name="Picture 24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82" name="Picture 25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83" name="Picture 25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84" name="Picture 25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85" name="Picture 25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86" name="Picture 25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87" name="Picture 25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88" name="Picture 25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89" name="Picture 25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90" name="Picture 25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91" name="Picture 25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92" name="Picture 26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93" name="Picture 26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94" name="Picture 26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95" name="Picture 26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96" name="Picture 26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97" name="Picture 26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98" name="Picture 26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399" name="Picture 26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00" name="Picture 26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01" name="Picture 26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02" name="Picture 27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03" name="Picture 27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04" name="Picture 27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05" name="Picture 27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06" name="Picture 27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07" name="Picture 27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08" name="Picture 27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09" name="Picture 27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10" name="Picture 27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11" name="Picture 27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12" name="Picture 28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13" name="Picture 28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14" name="Picture 28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15" name="Picture 28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16" name="Picture 28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17" name="Picture 28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18" name="Picture 28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19" name="Picture 28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20" name="Picture 28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21" name="Picture 28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22" name="Picture 29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23" name="Picture 29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24" name="Picture 29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25" name="Picture 40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26" name="Picture 40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27" name="Picture 40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28" name="Picture 41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29" name="Picture 41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30" name="Picture 41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31" name="Picture 41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32" name="Picture 41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33" name="Picture 41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34" name="Picture 41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35" name="Picture 41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36" name="Picture 41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37" name="Picture 41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38" name="Picture 42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39" name="Picture 42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40" name="Picture 42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41" name="Picture 42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42" name="Picture 42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43" name="Picture 42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44" name="Picture 42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45" name="Picture 42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46" name="Picture 42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47" name="Picture 42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48" name="Picture 43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49" name="Picture 43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50" name="Picture 43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51" name="Picture 43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52" name="Picture 43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53" name="Picture 43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54" name="Picture 43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55" name="Picture 43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56" name="Picture 43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57" name="Picture 43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58" name="Picture 44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59" name="Picture 44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60" name="Picture 44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61" name="Picture 44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62" name="Picture 44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63" name="Picture 44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64" name="Picture 44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65" name="Picture 44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66" name="Picture 44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67" name="Picture 44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68" name="Picture 45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69" name="Picture 45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70" name="Picture 45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71" name="Picture 45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72" name="Picture 45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73" name="Picture 45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74" name="Picture 45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75" name="Picture 45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76" name="Picture 45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77" name="Picture 45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78" name="Picture 46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79" name="Picture 46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80" name="Picture 46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81" name="Picture 46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82" name="Picture 46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83" name="Picture 46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84" name="Picture 46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85" name="Picture 46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86" name="Picture 46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87" name="Picture 46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88" name="Picture 47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89" name="Picture 47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90" name="Picture 47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91" name="Picture 47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92" name="Picture 47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93" name="Picture 47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94" name="Picture 47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95" name="Picture 66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96" name="Picture 66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97" name="Picture 66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98" name="Picture 66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499" name="Picture 66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00" name="Picture 67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01" name="Picture 67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02" name="Picture 67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03" name="Picture 67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04" name="Picture 67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05" name="Picture 67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06" name="Picture 67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07" name="Picture 67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08" name="Picture 67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09" name="Picture 67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10" name="Picture 68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11" name="Picture 68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12" name="Picture 68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13" name="Picture 68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14" name="Picture 68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15" name="Picture 68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16" name="Picture 68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17" name="Picture 68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18" name="Picture 68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19" name="Picture 68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20" name="Picture 69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21" name="Picture 69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22" name="Picture 69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23" name="Picture 69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24" name="Picture 69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25" name="Picture 69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26" name="Picture 69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27" name="Picture 69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28" name="Picture 69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29" name="Picture 69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30" name="Picture 70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31" name="Picture 70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32" name="Picture 70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33" name="Picture 70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34" name="Picture 70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35" name="Picture 70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36" name="Picture 70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37" name="Picture 70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38" name="Picture 70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39" name="Picture 70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40" name="Picture 71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41" name="Picture 71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42" name="Picture 71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43" name="Picture 71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44" name="Picture 71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45" name="Picture 71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46" name="Picture 71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47" name="Picture 71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48" name="Picture 71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49" name="Picture 71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50" name="Picture 72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51" name="Picture 72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52" name="Picture 72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53" name="Picture 72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54" name="Picture 72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55" name="Picture 72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56" name="Picture 72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57" name="Picture 73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58" name="Picture 73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59" name="Picture 73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60" name="Picture 73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61" name="Picture 73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62" name="Picture 73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63" name="Picture 73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64" name="Picture 73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0</xdr:row>
      <xdr:rowOff>0</xdr:rowOff>
    </xdr:from>
    <xdr:to>
      <xdr:col>2</xdr:col>
      <xdr:colOff>38100</xdr:colOff>
      <xdr:row>0</xdr:row>
      <xdr:rowOff>33528</xdr:rowOff>
    </xdr:to>
    <xdr:pic>
      <xdr:nvPicPr>
        <xdr:cNvPr id="565" name="Picture 73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66" name="Picture 66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67" name="Picture 66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68" name="Picture 66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69" name="Picture 66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70" name="Picture 66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71" name="Picture 67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72" name="Picture 67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73" name="Picture 67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74" name="Picture 67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75" name="Picture 67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76" name="Picture 67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77" name="Picture 67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78" name="Picture 67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79" name="Picture 67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80" name="Picture 67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81" name="Picture 68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82" name="Picture 68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83" name="Picture 68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84" name="Picture 68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85" name="Picture 68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86" name="Picture 68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87" name="Picture 68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88" name="Picture 68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89" name="Picture 68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90" name="Picture 68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91" name="Picture 69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92" name="Picture 69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93" name="Picture 69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94" name="Picture 69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95" name="Picture 69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96" name="Picture 69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97" name="Picture 69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98" name="Picture 69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599" name="Picture 69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00" name="Picture 69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01" name="Picture 70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02" name="Picture 70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03" name="Picture 70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04" name="Picture 70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05" name="Picture 70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06" name="Picture 70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07" name="Picture 70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08" name="Picture 70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09" name="Picture 70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10" name="Picture 70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11" name="Picture 71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12" name="Picture 71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13" name="Picture 71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14" name="Picture 71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15" name="Picture 71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16" name="Picture 71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17" name="Picture 71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18" name="Picture 71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19" name="Picture 71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20" name="Picture 71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21" name="Picture 72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22" name="Picture 72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23" name="Picture 72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24" name="Picture 72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25" name="Picture 72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26" name="Picture 72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27" name="Picture 72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28" name="Picture 73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29" name="Picture 73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30" name="Picture 73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31" name="Picture 73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32" name="Picture 73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33" name="Picture 73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34" name="Picture 73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35" name="Picture 73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36" name="Picture 73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37" name="Picture 22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38" name="Picture 22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39" name="Picture 22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40" name="Picture 22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41" name="Picture 22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42" name="Picture 22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43" name="Picture 22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44" name="Picture 23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45" name="Picture 23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46" name="Picture 23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47" name="Picture 23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48" name="Picture 23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49" name="Picture 23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50" name="Picture 23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51" name="Picture 23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52" name="Picture 23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53" name="Picture 23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54" name="Picture 24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55" name="Picture 24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56" name="Picture 24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57" name="Picture 24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58" name="Picture 24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59" name="Picture 24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60" name="Picture 24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61" name="Picture 24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62" name="Picture 24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63" name="Picture 24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64" name="Picture 25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65" name="Picture 25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66" name="Picture 25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67" name="Picture 25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68" name="Picture 25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69" name="Picture 25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70" name="Picture 25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71" name="Picture 25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72" name="Picture 25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73" name="Picture 25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74" name="Picture 26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75" name="Picture 26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76" name="Picture 26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77" name="Picture 26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78" name="Picture 26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79" name="Picture 26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80" name="Picture 26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81" name="Picture 26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82" name="Picture 26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83" name="Picture 26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84" name="Picture 27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85" name="Picture 27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86" name="Picture 27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87" name="Picture 27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88" name="Picture 27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89" name="Picture 27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90" name="Picture 27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91" name="Picture 27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92" name="Picture 27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93" name="Picture 27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94" name="Picture 28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95" name="Picture 28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96" name="Picture 28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97" name="Picture 28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98" name="Picture 28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699" name="Picture 28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00" name="Picture 28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01" name="Picture 28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02" name="Picture 28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03" name="Picture 28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04" name="Picture 29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05" name="Picture 29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06" name="Picture 29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07" name="Picture 40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08" name="Picture 40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09" name="Picture 40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10" name="Picture 41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11" name="Picture 41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12" name="Picture 41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13" name="Picture 41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14" name="Picture 41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15" name="Picture 41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16" name="Picture 41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17" name="Picture 41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18" name="Picture 41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19" name="Picture 41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20" name="Picture 42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21" name="Picture 42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22" name="Picture 42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23" name="Picture 42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24" name="Picture 42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25" name="Picture 42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26" name="Picture 42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27" name="Picture 42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28" name="Picture 42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29" name="Picture 42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30" name="Picture 43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31" name="Picture 43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32" name="Picture 43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33" name="Picture 43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34" name="Picture 43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35" name="Picture 43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36" name="Picture 43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37" name="Picture 43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38" name="Picture 43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39" name="Picture 43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40" name="Picture 44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41" name="Picture 44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42" name="Picture 44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43" name="Picture 44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44" name="Picture 44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45" name="Picture 44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46" name="Picture 44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47" name="Picture 44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48" name="Picture 44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49" name="Picture 44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50" name="Picture 45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51" name="Picture 45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52" name="Picture 45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53" name="Picture 45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54" name="Picture 45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55" name="Picture 45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56" name="Picture 45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57" name="Picture 45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58" name="Picture 45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59" name="Picture 45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60" name="Picture 46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61" name="Picture 46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62" name="Picture 46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63" name="Picture 46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64" name="Picture 46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65" name="Picture 46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66" name="Picture 46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67" name="Picture 46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68" name="Picture 46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69" name="Picture 46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70" name="Picture 47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71" name="Picture 47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72" name="Picture 47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73" name="Picture 47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74" name="Picture 47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75" name="Picture 47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76" name="Picture 47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77" name="Picture 66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78" name="Picture 66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79" name="Picture 66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80" name="Picture 66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81" name="Picture 66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82" name="Picture 67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83" name="Picture 67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84" name="Picture 67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85" name="Picture 67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86" name="Picture 67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87" name="Picture 67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88" name="Picture 67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89" name="Picture 67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90" name="Picture 67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91" name="Picture 67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92" name="Picture 68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93" name="Picture 68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94" name="Picture 68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95" name="Picture 68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96" name="Picture 68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97" name="Picture 68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98" name="Picture 68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799" name="Picture 68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00" name="Picture 68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01" name="Picture 68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02" name="Picture 69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03" name="Picture 69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04" name="Picture 69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05" name="Picture 69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06" name="Picture 69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07" name="Picture 69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08" name="Picture 69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09" name="Picture 69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10" name="Picture 69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11" name="Picture 69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12" name="Picture 70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13" name="Picture 70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14" name="Picture 70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15" name="Picture 70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16" name="Picture 70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17" name="Picture 70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18" name="Picture 70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19" name="Picture 70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20" name="Picture 70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21" name="Picture 70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22" name="Picture 71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23" name="Picture 71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24" name="Picture 71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25" name="Picture 71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26" name="Picture 71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27" name="Picture 71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28" name="Picture 71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29" name="Picture 71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30" name="Picture 71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31" name="Picture 71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32" name="Picture 72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33" name="Picture 72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34" name="Picture 72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35" name="Picture 72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36" name="Picture 72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37" name="Picture 72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38" name="Picture 72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39" name="Picture 73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40" name="Picture 73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41" name="Picture 73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42" name="Picture 73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43" name="Picture 73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44" name="Picture 73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45" name="Picture 73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46" name="Picture 73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47" name="Picture 73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48" name="Picture 66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49" name="Picture 66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50" name="Picture 66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51" name="Picture 66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52" name="Picture 66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53" name="Picture 67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54" name="Picture 67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55" name="Picture 67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56" name="Picture 67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57" name="Picture 67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58" name="Picture 67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59" name="Picture 67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60" name="Picture 67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61" name="Picture 67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62" name="Picture 67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63" name="Picture 68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64" name="Picture 68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65" name="Picture 68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66" name="Picture 68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67" name="Picture 68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68" name="Picture 68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69" name="Picture 68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70" name="Picture 68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71" name="Picture 68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72" name="Picture 68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73" name="Picture 69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74" name="Picture 69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75" name="Picture 69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76" name="Picture 69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77" name="Picture 69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78" name="Picture 69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79" name="Picture 69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80" name="Picture 69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81" name="Picture 69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82" name="Picture 69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83" name="Picture 70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84" name="Picture 70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85" name="Picture 70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86" name="Picture 70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87" name="Picture 70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88" name="Picture 70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89" name="Picture 70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90" name="Picture 70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91" name="Picture 70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92" name="Picture 70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93" name="Picture 71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94" name="Picture 71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95" name="Picture 71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96" name="Picture 71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97" name="Picture 71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98" name="Picture 71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899" name="Picture 71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00" name="Picture 71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01" name="Picture 71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02" name="Picture 71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03" name="Picture 72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04" name="Picture 72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05" name="Picture 72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06" name="Picture 72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07" name="Picture 72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08" name="Picture 72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09" name="Picture 72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10" name="Picture 73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11" name="Picture 73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12" name="Picture 73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13" name="Picture 73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14" name="Picture 73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15" name="Picture 73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16" name="Picture 73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17" name="Picture 73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18" name="Picture 73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19" name="Picture 22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20" name="Picture 22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21" name="Picture 22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22" name="Picture 22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23" name="Picture 22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24" name="Picture 22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25" name="Picture 22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26" name="Picture 23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27" name="Picture 23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28" name="Picture 23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29" name="Picture 23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30" name="Picture 23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31" name="Picture 23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32" name="Picture 23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33" name="Picture 23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34" name="Picture 23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35" name="Picture 23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36" name="Picture 24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37" name="Picture 24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38" name="Picture 24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39" name="Picture 24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40" name="Picture 24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41" name="Picture 24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42" name="Picture 24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43" name="Picture 24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44" name="Picture 24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45" name="Picture 24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46" name="Picture 25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47" name="Picture 25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48" name="Picture 25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49" name="Picture 25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50" name="Picture 25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51" name="Picture 25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52" name="Picture 25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53" name="Picture 25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54" name="Picture 25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55" name="Picture 25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56" name="Picture 26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57" name="Picture 26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58" name="Picture 26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59" name="Picture 26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60" name="Picture 26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61" name="Picture 26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62" name="Picture 26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63" name="Picture 26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64" name="Picture 26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65" name="Picture 26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66" name="Picture 27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67" name="Picture 27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68" name="Picture 27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69" name="Picture 27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70" name="Picture 27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71" name="Picture 27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72" name="Picture 27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73" name="Picture 27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74" name="Picture 27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75" name="Picture 27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76" name="Picture 28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77" name="Picture 28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78" name="Picture 28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79" name="Picture 28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80" name="Picture 28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81" name="Picture 28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82" name="Picture 28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83" name="Picture 28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84" name="Picture 28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85" name="Picture 28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86" name="Picture 29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87" name="Picture 29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88" name="Picture 29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89" name="Picture 40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90" name="Picture 40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91" name="Picture 40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92" name="Picture 41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93" name="Picture 41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94" name="Picture 41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95" name="Picture 41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96" name="Picture 41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97" name="Picture 41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98" name="Picture 41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999" name="Picture 41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00" name="Picture 41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01" name="Picture 41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02" name="Picture 42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03" name="Picture 42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04" name="Picture 42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05" name="Picture 42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06" name="Picture 42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07" name="Picture 42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08" name="Picture 42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09" name="Picture 42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10" name="Picture 42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11" name="Picture 42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12" name="Picture 43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13" name="Picture 43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14" name="Picture 43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15" name="Picture 43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16" name="Picture 43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17" name="Picture 43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18" name="Picture 43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19" name="Picture 43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20" name="Picture 43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21" name="Picture 43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22" name="Picture 44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23" name="Picture 44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24" name="Picture 44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25" name="Picture 44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26" name="Picture 44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27" name="Picture 44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28" name="Picture 44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29" name="Picture 44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30" name="Picture 44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31" name="Picture 44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32" name="Picture 45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33" name="Picture 45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34" name="Picture 45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35" name="Picture 45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36" name="Picture 45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37" name="Picture 45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38" name="Picture 45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39" name="Picture 45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40" name="Picture 45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41" name="Picture 45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42" name="Picture 46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43" name="Picture 46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44" name="Picture 46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45" name="Picture 46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46" name="Picture 46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47" name="Picture 46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48" name="Picture 46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49" name="Picture 46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50" name="Picture 46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51" name="Picture 46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52" name="Picture 47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53" name="Picture 47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54" name="Picture 47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55" name="Picture 47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56" name="Picture 47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57" name="Picture 47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58" name="Picture 47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59" name="Picture 66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60" name="Picture 66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61" name="Picture 66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62" name="Picture 66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63" name="Picture 66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64" name="Picture 67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65" name="Picture 67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66" name="Picture 67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67" name="Picture 67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68" name="Picture 67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69" name="Picture 67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70" name="Picture 67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71" name="Picture 67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72" name="Picture 67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73" name="Picture 67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74" name="Picture 68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75" name="Picture 68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76" name="Picture 68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77" name="Picture 68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78" name="Picture 68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79" name="Picture 68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80" name="Picture 68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81" name="Picture 68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82" name="Picture 68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83" name="Picture 68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84" name="Picture 69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85" name="Picture 69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86" name="Picture 69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87" name="Picture 69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88" name="Picture 69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89" name="Picture 69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90" name="Picture 69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91" name="Picture 69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92" name="Picture 69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93" name="Picture 69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94" name="Picture 70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95" name="Picture 70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96" name="Picture 70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97" name="Picture 70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98" name="Picture 70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099" name="Picture 70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00" name="Picture 70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01" name="Picture 70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02" name="Picture 70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03" name="Picture 70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04" name="Picture 71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05" name="Picture 71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06" name="Picture 71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07" name="Picture 71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08" name="Picture 71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09" name="Picture 71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10" name="Picture 71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11" name="Picture 71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12" name="Picture 71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13" name="Picture 71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14" name="Picture 72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15" name="Picture 72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16" name="Picture 72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17" name="Picture 72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18" name="Picture 72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19" name="Picture 72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20" name="Picture 729"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21" name="Picture 730"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22" name="Picture 73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23" name="Picture 732"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24" name="Picture 73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25" name="Picture 734"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26" name="Picture 735"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27" name="Picture 736"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510</xdr:row>
      <xdr:rowOff>0</xdr:rowOff>
    </xdr:from>
    <xdr:to>
      <xdr:col>2</xdr:col>
      <xdr:colOff>38100</xdr:colOff>
      <xdr:row>510</xdr:row>
      <xdr:rowOff>33528</xdr:rowOff>
    </xdr:to>
    <xdr:pic>
      <xdr:nvPicPr>
        <xdr:cNvPr id="1128" name="Picture 737"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4587060"/>
          <a:ext cx="38100" cy="33528"/>
        </a:xfrm>
        <a:prstGeom prst="rect">
          <a:avLst/>
        </a:prstGeom>
        <a:noFill/>
        <a:ln w="9525">
          <a:noFill/>
          <a:miter lim="800000"/>
          <a:headEnd/>
          <a:tailEnd/>
        </a:ln>
      </xdr:spPr>
    </xdr:pic>
    <xdr:clientData/>
  </xdr:twoCellAnchor>
  <xdr:twoCellAnchor editAs="oneCell">
    <xdr:from>
      <xdr:col>2</xdr:col>
      <xdr:colOff>0</xdr:colOff>
      <xdr:row>513</xdr:row>
      <xdr:rowOff>243840</xdr:rowOff>
    </xdr:from>
    <xdr:to>
      <xdr:col>2</xdr:col>
      <xdr:colOff>38100</xdr:colOff>
      <xdr:row>514</xdr:row>
      <xdr:rowOff>33528</xdr:rowOff>
    </xdr:to>
    <xdr:pic>
      <xdr:nvPicPr>
        <xdr:cNvPr id="1129" name="Picture 738"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586740" y="95257620"/>
          <a:ext cx="38100" cy="33528"/>
        </a:xfrm>
        <a:prstGeom prst="rect">
          <a:avLst/>
        </a:prstGeom>
        <a:noFill/>
        <a:ln w="9525">
          <a:noFill/>
          <a:miter lim="800000"/>
          <a:headEnd/>
          <a:tailEnd/>
        </a:ln>
      </xdr:spPr>
    </xdr:pic>
    <xdr:clientData/>
  </xdr:twoCellAnchor>
  <xdr:twoCellAnchor>
    <xdr:from>
      <xdr:col>2</xdr:col>
      <xdr:colOff>0</xdr:colOff>
      <xdr:row>165</xdr:row>
      <xdr:rowOff>9525</xdr:rowOff>
    </xdr:from>
    <xdr:to>
      <xdr:col>3</xdr:col>
      <xdr:colOff>0</xdr:colOff>
      <xdr:row>165</xdr:row>
      <xdr:rowOff>9525</xdr:rowOff>
    </xdr:to>
    <xdr:sp macro="" textlink="">
      <xdr:nvSpPr>
        <xdr:cNvPr id="1130" name="Line 7362"/>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31" name="Line 7375"/>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32" name="Line 7380"/>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33" name="Line 7381"/>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34" name="Line 7408"/>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35" name="Line 7423"/>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36" name="Line 7438"/>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37" name="Line 7480"/>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38" name="Line 7481"/>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39" name="Line 7482"/>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40" name="Line 7483"/>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41" name="Line 7484"/>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42" name="Line 8083"/>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43" name="Line 8094"/>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44" name="Line 8098"/>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45" name="Line 8099"/>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46" name="Line 8119"/>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47" name="Line 8131"/>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48" name="Line 8143"/>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49" name="Line 8179"/>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50" name="Line 8180"/>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51" name="Line 8181"/>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52" name="Line 8182"/>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53" name="Line 8178"/>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54" name="Line 7362"/>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55" name="Line 7375"/>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56" name="Line 7380"/>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57" name="Line 7381"/>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58" name="Line 7408"/>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59" name="Line 7423"/>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60" name="Line 7438"/>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61" name="Line 7480"/>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62" name="Line 7481"/>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63" name="Line 7482"/>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64" name="Line 7483"/>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65" name="Line 7484"/>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66" name="Line 8083"/>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67" name="Line 8094"/>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68" name="Line 8098"/>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69" name="Line 8099"/>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70" name="Line 8119"/>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71" name="Line 8131"/>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72" name="Line 8143"/>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73" name="Line 8179"/>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74" name="Line 8180"/>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75" name="Line 8181"/>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76" name="Line 8182"/>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77" name="Line 8178"/>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78" name="Line 7362"/>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79" name="Line 7375"/>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80" name="Line 7380"/>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81" name="Line 7381"/>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82" name="Line 7408"/>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83" name="Line 7423"/>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84" name="Line 7438"/>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85" name="Line 7480"/>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86" name="Line 7481"/>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87" name="Line 7482"/>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88" name="Line 7483"/>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89" name="Line 7484"/>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90" name="Line 8083"/>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91" name="Line 8094"/>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92" name="Line 8098"/>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93" name="Line 8099"/>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94" name="Line 8119"/>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95" name="Line 8131"/>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96" name="Line 8143"/>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97" name="Line 8179"/>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98" name="Line 8180"/>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199" name="Line 8181"/>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200" name="Line 8182"/>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xdr:from>
      <xdr:col>2</xdr:col>
      <xdr:colOff>0</xdr:colOff>
      <xdr:row>165</xdr:row>
      <xdr:rowOff>9525</xdr:rowOff>
    </xdr:from>
    <xdr:to>
      <xdr:col>3</xdr:col>
      <xdr:colOff>0</xdr:colOff>
      <xdr:row>165</xdr:row>
      <xdr:rowOff>9525</xdr:rowOff>
    </xdr:to>
    <xdr:sp macro="" textlink="">
      <xdr:nvSpPr>
        <xdr:cNvPr id="1201" name="Line 8178"/>
        <xdr:cNvSpPr>
          <a:spLocks noChangeShapeType="1"/>
        </xdr:cNvSpPr>
      </xdr:nvSpPr>
      <xdr:spPr bwMode="auto">
        <a:xfrm>
          <a:off x="586740" y="33644205"/>
          <a:ext cx="2362200" cy="0"/>
        </a:xfrm>
        <a:prstGeom prst="line">
          <a:avLst/>
        </a:prstGeom>
        <a:noFill/>
        <a:ln w="9525">
          <a:noFill/>
          <a:round/>
          <a:headEnd/>
          <a:tailEnd/>
        </a:ln>
        <a:effectLst>
          <a:outerShdw dist="53882" dir="2700000" algn="ctr" rotWithShape="0">
            <a:srgbClr val="C0C0C0"/>
          </a:outerShdw>
        </a:effectLst>
      </xdr:spPr>
      <xdr:txBody>
        <a:bodyPr/>
        <a:lstStyle/>
        <a:p>
          <a:endParaRPr lang="en-US"/>
        </a:p>
      </xdr:txBody>
    </xdr:sp>
    <xdr:clientData/>
  </xdr:twoCellAnchor>
  <xdr:twoCellAnchor editAs="oneCell">
    <xdr:from>
      <xdr:col>3</xdr:col>
      <xdr:colOff>0</xdr:colOff>
      <xdr:row>386</xdr:row>
      <xdr:rowOff>0</xdr:rowOff>
    </xdr:from>
    <xdr:to>
      <xdr:col>3</xdr:col>
      <xdr:colOff>60960</xdr:colOff>
      <xdr:row>386</xdr:row>
      <xdr:rowOff>7620</xdr:rowOff>
    </xdr:to>
    <xdr:pic>
      <xdr:nvPicPr>
        <xdr:cNvPr id="1202" name="Picture 7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03" name="Picture 7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04" name="Picture 7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05" name="Picture 7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06" name="Picture 7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07" name="Picture 7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08" name="Picture 7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09" name="Picture 7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10" name="Picture 7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11"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12"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13"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14"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15"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16"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17"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18"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19"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20"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21"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22"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23"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24"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25"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26"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27"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28"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29"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30"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31"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32"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33"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34"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35"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36"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37"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38"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39"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40"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41"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42"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43"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44"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45"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46"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47"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48"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49"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50"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51"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52"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53"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54"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55"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56"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57"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58"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59"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60"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61"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62"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63"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64"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65"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66"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67"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68"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69"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386</xdr:row>
      <xdr:rowOff>0</xdr:rowOff>
    </xdr:from>
    <xdr:to>
      <xdr:col>3</xdr:col>
      <xdr:colOff>60960</xdr:colOff>
      <xdr:row>386</xdr:row>
      <xdr:rowOff>7620</xdr:rowOff>
    </xdr:to>
    <xdr:pic>
      <xdr:nvPicPr>
        <xdr:cNvPr id="1270"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31430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71"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72"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73"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74"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75"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76"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77"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78"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79"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80"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81"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82"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83"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84"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85"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86"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87"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88"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89"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90"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91"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92"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93"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94"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95"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96"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97"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98"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299"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00"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01"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02"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03"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04"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05"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06"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07"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08"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09"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10"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11"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12"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13"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14"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15"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16"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17"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18"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19"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20"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21"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22"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23"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24"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25"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26"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27"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28"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29"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30"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31"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32"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33"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34"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35"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36"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37"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38"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385</xdr:row>
      <xdr:rowOff>0</xdr:rowOff>
    </xdr:from>
    <xdr:to>
      <xdr:col>3</xdr:col>
      <xdr:colOff>60960</xdr:colOff>
      <xdr:row>385</xdr:row>
      <xdr:rowOff>7620</xdr:rowOff>
    </xdr:to>
    <xdr:pic>
      <xdr:nvPicPr>
        <xdr:cNvPr id="1339"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76146660"/>
          <a:ext cx="60960" cy="762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40" name="Picture 7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41" name="Picture 7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42" name="Picture 7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43" name="Picture 7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44" name="Picture 7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45" name="Picture 7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46" name="Picture 7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47" name="Picture 7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48" name="Picture 7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49"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50"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51"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52"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53"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54"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55"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56"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57"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58"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59"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60"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61"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62"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63"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64"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65"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66"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67"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68"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69"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70"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71"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72"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73"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74"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75"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76"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77"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78"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79"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80"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81"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82"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83"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84"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85"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86"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87"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88"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89"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90"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91"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92"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93"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94"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95"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96"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97"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98"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399"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00"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01"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02"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03"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04"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05"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06"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07"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08"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09"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10"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11"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12"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13"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14"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15"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16"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17"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18"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19"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20"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21"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22"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23"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24"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25"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26"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27"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28"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29"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30"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31"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32"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33"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34"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35"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36"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37"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38"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39"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40"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41"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42"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43"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44"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45"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46"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47"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48"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49"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50"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51"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52"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53"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54"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55"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56"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57"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58"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59"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60"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61"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62"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63"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64"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65"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66"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67"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68"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69"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70"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71"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72"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73"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74"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75"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76"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1254</xdr:row>
      <xdr:rowOff>0</xdr:rowOff>
    </xdr:from>
    <xdr:to>
      <xdr:col>3</xdr:col>
      <xdr:colOff>60960</xdr:colOff>
      <xdr:row>1254</xdr:row>
      <xdr:rowOff>22860</xdr:rowOff>
    </xdr:to>
    <xdr:pic>
      <xdr:nvPicPr>
        <xdr:cNvPr id="1477"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2598634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478" name="Picture 7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479" name="Picture 7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480" name="Picture 7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481" name="Picture 7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482" name="Picture 7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483" name="Picture 7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484" name="Picture 7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485" name="Picture 7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486" name="Picture 7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487"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488"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489"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490"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491"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492"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493"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494"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495"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496"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497"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498"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499"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00"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01"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02"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03"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04"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05"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06"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07"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08"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09"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10"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11"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12"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13"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14"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15"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16"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17"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18"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19"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20"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21"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22"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23"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24"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25"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26"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27"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28"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29"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30"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31"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32"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33"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34"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35"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36"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37"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38"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39"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40"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41"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42"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43"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44"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45"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46"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47"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48"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49"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50"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51"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52"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53"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54"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55"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56"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57"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58"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59"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60"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61"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62"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63"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64"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65"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66"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67"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68"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69"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70"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71"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72"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73"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74"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75"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76"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77"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78"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79"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80"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81"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82"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83"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84"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85"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86"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87"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88"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89"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90"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91"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92"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93"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94"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95"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96"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97"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98"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599"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600"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601"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602"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603"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604"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605"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606"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607"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608"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609"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610"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611"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612"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613"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614"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1114</xdr:row>
      <xdr:rowOff>0</xdr:rowOff>
    </xdr:from>
    <xdr:to>
      <xdr:col>3</xdr:col>
      <xdr:colOff>60960</xdr:colOff>
      <xdr:row>1114</xdr:row>
      <xdr:rowOff>22860</xdr:rowOff>
    </xdr:to>
    <xdr:pic>
      <xdr:nvPicPr>
        <xdr:cNvPr id="1615"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01975720"/>
          <a:ext cx="60960" cy="2286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16" name="Picture 7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17" name="Picture 7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18" name="Picture 7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19" name="Picture 7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20" name="Picture 7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21" name="Picture 7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22" name="Picture 7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23" name="Picture 7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24" name="Picture 7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25"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26"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27"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28"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29"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30"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31"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32"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33"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34"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35"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36"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37"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38"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39"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40"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41"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42"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43"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44"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45"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46"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47"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48"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49"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50"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51"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52"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53"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54"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55"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56"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57"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58"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59"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60"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61"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62"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63"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64"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65"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66"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67"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68"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69"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70"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71"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72"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73"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74"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75"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76"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77"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78"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79"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80"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81"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82"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83"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84"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85"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86"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87"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88"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89"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90"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91"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92"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93"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94"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95"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96"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97"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98"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699"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00"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01"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02"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03"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04"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05"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06"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07"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08"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09"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10"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11"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12"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13"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14"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15"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16"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17"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18"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19"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20"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21"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22"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23"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24"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25"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26"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27"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28"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29"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30"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31"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32"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33"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34"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35"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36"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37"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38"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39"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40"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41"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42" name="Picture 9"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43" name="Picture 10"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44" name="Picture 1"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45" name="Picture 2"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46" name="Picture 3"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47" name="Picture 4"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48" name="Picture 5"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49" name="Picture 6"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3</xdr:col>
      <xdr:colOff>0</xdr:colOff>
      <xdr:row>1409</xdr:row>
      <xdr:rowOff>0</xdr:rowOff>
    </xdr:from>
    <xdr:to>
      <xdr:col>3</xdr:col>
      <xdr:colOff>60960</xdr:colOff>
      <xdr:row>1409</xdr:row>
      <xdr:rowOff>15240</xdr:rowOff>
    </xdr:to>
    <xdr:pic>
      <xdr:nvPicPr>
        <xdr:cNvPr id="1750" name="Picture 7"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948940" y="254820420"/>
          <a:ext cx="60960" cy="15240"/>
        </a:xfrm>
        <a:prstGeom prst="rect">
          <a:avLst/>
        </a:prstGeom>
        <a:noFill/>
        <a:ln w="9525">
          <a:noFill/>
          <a:miter lim="800000"/>
          <a:headEnd/>
          <a:tailEnd/>
        </a:ln>
      </xdr:spPr>
    </xdr:pic>
    <xdr:clientData/>
  </xdr:twoCellAnchor>
  <xdr:twoCellAnchor editAs="oneCell">
    <xdr:from>
      <xdr:col>2</xdr:col>
      <xdr:colOff>1676400</xdr:colOff>
      <xdr:row>1409</xdr:row>
      <xdr:rowOff>190500</xdr:rowOff>
    </xdr:from>
    <xdr:to>
      <xdr:col>2</xdr:col>
      <xdr:colOff>2264228</xdr:colOff>
      <xdr:row>1410</xdr:row>
      <xdr:rowOff>1524</xdr:rowOff>
    </xdr:to>
    <xdr:pic>
      <xdr:nvPicPr>
        <xdr:cNvPr id="1751" name="Picture 8" descr="icon_arrow_double"/>
        <xdr:cNvPicPr>
          <a:picLocks noChangeAspect="1" noChangeArrowheads="1"/>
        </xdr:cNvPicPr>
      </xdr:nvPicPr>
      <xdr:blipFill>
        <a:blip xmlns:r="http://schemas.openxmlformats.org/officeDocument/2006/relationships" r:embed="rId2" cstate="print"/>
        <a:srcRect/>
        <a:stretch>
          <a:fillRect/>
        </a:stretch>
      </xdr:blipFill>
      <xdr:spPr bwMode="auto">
        <a:xfrm>
          <a:off x="2263140" y="255010920"/>
          <a:ext cx="1273628" cy="152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20Files/vnTools/Ufunctions.xla"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uniBase"/>
      <sheetName val="vniBase"/>
      <sheetName val="abcBase"/>
      <sheetName val="Sheet1"/>
      <sheetName val="Ufunctions"/>
    </sheetNames>
    <definedNames>
      <definedName name="vnd"/>
    </defined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scor.com/medical-devices/pacemakers-Pace203.html"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E1464"/>
  <sheetViews>
    <sheetView tabSelected="1" topLeftCell="D749" workbookViewId="0">
      <selection activeCell="S757" sqref="S757"/>
    </sheetView>
  </sheetViews>
  <sheetFormatPr defaultColWidth="8.85546875" defaultRowHeight="9"/>
  <cols>
    <col min="1" max="1" width="6.28515625" style="71" customWidth="1"/>
    <col min="2" max="2" width="5.28515625" style="71" customWidth="1"/>
    <col min="3" max="3" width="34.42578125" style="72" customWidth="1"/>
    <col min="4" max="4" width="9" style="71" customWidth="1"/>
    <col min="5" max="5" width="5" style="71" customWidth="1"/>
    <col min="6" max="6" width="9.28515625" style="73" customWidth="1"/>
    <col min="7" max="7" width="9.7109375" style="73" customWidth="1"/>
    <col min="8" max="8" width="13.7109375" style="73" bestFit="1" customWidth="1"/>
    <col min="9" max="9" width="8.85546875" style="73" hidden="1" customWidth="1"/>
    <col min="10" max="10" width="9.7109375" style="73" hidden="1" customWidth="1"/>
    <col min="11" max="11" width="12.5703125" style="73" hidden="1" customWidth="1"/>
    <col min="12" max="12" width="8.7109375" style="73" hidden="1" customWidth="1"/>
    <col min="13" max="13" width="12.85546875" style="71" customWidth="1"/>
    <col min="14" max="14" width="14.85546875" style="71" customWidth="1"/>
    <col min="15" max="15" width="9.42578125" style="71" customWidth="1"/>
    <col min="16" max="16" width="22.28515625" style="74" customWidth="1"/>
    <col min="17" max="17" width="7.7109375" style="74" bestFit="1" customWidth="1"/>
    <col min="18" max="18" width="8.5703125" style="1024" customWidth="1"/>
    <col min="19" max="19" width="7.140625" style="75" customWidth="1"/>
    <col min="20" max="31" width="7.140625" style="71" customWidth="1"/>
    <col min="32" max="16384" width="8.85546875" style="71"/>
  </cols>
  <sheetData>
    <row r="1" spans="1:31" s="2" customFormat="1" ht="10.15" customHeight="1">
      <c r="A1" s="1"/>
      <c r="B1" s="1"/>
      <c r="C1" s="2090" t="s">
        <v>0</v>
      </c>
      <c r="D1" s="2090"/>
      <c r="E1" s="2090"/>
      <c r="F1" s="2090"/>
      <c r="G1" s="2090"/>
      <c r="H1" s="2090"/>
      <c r="I1" s="2090"/>
      <c r="J1" s="2090"/>
      <c r="K1" s="2090"/>
      <c r="L1" s="2090"/>
      <c r="M1" s="2090"/>
      <c r="N1" s="2090"/>
      <c r="O1" s="2090"/>
      <c r="P1" s="1"/>
      <c r="Q1" s="1"/>
      <c r="R1" s="1"/>
    </row>
    <row r="2" spans="1:31" s="2" customFormat="1" ht="10.15" customHeight="1">
      <c r="A2" s="1"/>
      <c r="B2" s="1"/>
      <c r="C2" s="2090" t="s">
        <v>1</v>
      </c>
      <c r="D2" s="2090"/>
      <c r="E2" s="2090"/>
      <c r="F2" s="2090"/>
      <c r="G2" s="2090"/>
      <c r="H2" s="2090"/>
      <c r="I2" s="2090"/>
      <c r="J2" s="2090"/>
      <c r="K2" s="2090"/>
      <c r="L2" s="2090"/>
      <c r="M2" s="2090"/>
      <c r="N2" s="2090"/>
      <c r="O2" s="2090"/>
      <c r="P2" s="1"/>
      <c r="Q2" s="1"/>
      <c r="R2" s="1"/>
    </row>
    <row r="3" spans="1:31" s="2" customFormat="1" ht="10.15" customHeight="1">
      <c r="A3" s="1"/>
      <c r="B3" s="1"/>
      <c r="C3" s="2090" t="s">
        <v>2</v>
      </c>
      <c r="D3" s="2090"/>
      <c r="E3" s="2090"/>
      <c r="F3" s="2090"/>
      <c r="G3" s="2090"/>
      <c r="H3" s="2090"/>
      <c r="I3" s="2090"/>
      <c r="J3" s="2090"/>
      <c r="K3" s="2090"/>
      <c r="L3" s="2090"/>
      <c r="M3" s="2090"/>
      <c r="N3" s="2090"/>
      <c r="O3" s="2090"/>
      <c r="P3" s="1"/>
      <c r="Q3" s="1"/>
      <c r="R3" s="1"/>
    </row>
    <row r="4" spans="1:31" s="3" customFormat="1">
      <c r="A4" s="3" t="s">
        <v>3</v>
      </c>
      <c r="C4" s="4"/>
      <c r="F4" s="2091"/>
      <c r="G4" s="2091"/>
      <c r="H4" s="2091"/>
      <c r="I4" s="2091"/>
      <c r="J4" s="2091"/>
      <c r="K4" s="2091"/>
      <c r="L4" s="5"/>
      <c r="P4" s="6" t="s">
        <v>4</v>
      </c>
      <c r="Q4" s="7"/>
      <c r="R4" s="2318"/>
      <c r="S4" s="8"/>
    </row>
    <row r="5" spans="1:31" s="12" customFormat="1" ht="14.45" customHeight="1">
      <c r="A5" s="2092" t="s">
        <v>5</v>
      </c>
      <c r="B5" s="2092" t="s">
        <v>6</v>
      </c>
      <c r="C5" s="2094" t="s">
        <v>7</v>
      </c>
      <c r="D5" s="2096" t="s">
        <v>8</v>
      </c>
      <c r="E5" s="2092" t="s">
        <v>9</v>
      </c>
      <c r="F5" s="2098" t="s">
        <v>10</v>
      </c>
      <c r="G5" s="2098"/>
      <c r="H5" s="2098"/>
      <c r="I5" s="2098" t="s">
        <v>11</v>
      </c>
      <c r="J5" s="2098"/>
      <c r="K5" s="2098"/>
      <c r="L5" s="2099" t="s">
        <v>12</v>
      </c>
      <c r="M5" s="9"/>
      <c r="N5" s="9"/>
      <c r="O5" s="9"/>
      <c r="P5" s="2101" t="s">
        <v>13</v>
      </c>
      <c r="Q5" s="2265" t="s">
        <v>4740</v>
      </c>
      <c r="R5" s="2319" t="s">
        <v>4754</v>
      </c>
      <c r="S5" s="2267" t="s">
        <v>4767</v>
      </c>
      <c r="T5" s="2268"/>
      <c r="U5" s="2268"/>
      <c r="V5" s="2268"/>
      <c r="W5" s="2269"/>
      <c r="X5" s="2267" t="s">
        <v>4768</v>
      </c>
      <c r="Y5" s="2268"/>
      <c r="Z5" s="2268"/>
      <c r="AA5" s="2268"/>
      <c r="AB5" s="2268"/>
      <c r="AC5" s="2268"/>
      <c r="AD5" s="2268"/>
      <c r="AE5" s="2269"/>
    </row>
    <row r="6" spans="1:31" s="16" customFormat="1" ht="34.9" customHeight="1">
      <c r="A6" s="2093"/>
      <c r="B6" s="2093"/>
      <c r="C6" s="2095"/>
      <c r="D6" s="2097"/>
      <c r="E6" s="2093"/>
      <c r="F6" s="13" t="s">
        <v>14</v>
      </c>
      <c r="G6" s="13" t="s">
        <v>15</v>
      </c>
      <c r="H6" s="13" t="s">
        <v>16</v>
      </c>
      <c r="I6" s="13" t="s">
        <v>14</v>
      </c>
      <c r="J6" s="13" t="s">
        <v>15</v>
      </c>
      <c r="K6" s="13" t="s">
        <v>16</v>
      </c>
      <c r="L6" s="2100"/>
      <c r="M6" s="14" t="s">
        <v>17</v>
      </c>
      <c r="N6" s="14" t="s">
        <v>18</v>
      </c>
      <c r="O6" s="14" t="s">
        <v>19</v>
      </c>
      <c r="P6" s="2102"/>
      <c r="Q6" s="2266"/>
      <c r="R6" s="2320"/>
      <c r="S6" s="2263" t="s">
        <v>4755</v>
      </c>
      <c r="T6" s="2263" t="s">
        <v>4756</v>
      </c>
      <c r="U6" s="2263" t="s">
        <v>4757</v>
      </c>
      <c r="V6" s="2263" t="s">
        <v>4758</v>
      </c>
      <c r="W6" s="2263" t="s">
        <v>4759</v>
      </c>
      <c r="X6" s="2264" t="s">
        <v>4760</v>
      </c>
      <c r="Y6" s="2264" t="s">
        <v>4761</v>
      </c>
      <c r="Z6" s="2264" t="s">
        <v>4762</v>
      </c>
      <c r="AA6" s="2264" t="s">
        <v>4763</v>
      </c>
      <c r="AB6" s="2264" t="s">
        <v>4764</v>
      </c>
      <c r="AC6" s="2264" t="s">
        <v>4765</v>
      </c>
      <c r="AD6" s="2264" t="s">
        <v>4766</v>
      </c>
      <c r="AE6" s="2264" t="s">
        <v>4755</v>
      </c>
    </row>
    <row r="7" spans="1:31" s="24" customFormat="1">
      <c r="A7" s="17">
        <v>1</v>
      </c>
      <c r="B7" s="17">
        <v>2</v>
      </c>
      <c r="C7" s="18">
        <v>3</v>
      </c>
      <c r="D7" s="19">
        <v>4</v>
      </c>
      <c r="E7" s="17">
        <v>5</v>
      </c>
      <c r="F7" s="13">
        <v>6</v>
      </c>
      <c r="G7" s="20">
        <v>7</v>
      </c>
      <c r="H7" s="20">
        <v>8</v>
      </c>
      <c r="I7" s="20"/>
      <c r="J7" s="20">
        <v>9</v>
      </c>
      <c r="K7" s="20">
        <v>10</v>
      </c>
      <c r="L7" s="20"/>
      <c r="M7" s="19">
        <v>9</v>
      </c>
      <c r="N7" s="19">
        <v>10</v>
      </c>
      <c r="O7" s="19">
        <v>11</v>
      </c>
      <c r="P7" s="21">
        <v>11</v>
      </c>
      <c r="Q7" s="22"/>
      <c r="R7" s="2321"/>
      <c r="S7" s="23"/>
    </row>
    <row r="8" spans="1:31" s="36" customFormat="1" ht="18">
      <c r="A8" s="25">
        <v>1</v>
      </c>
      <c r="B8" s="25">
        <v>1</v>
      </c>
      <c r="C8" s="26" t="s">
        <v>20</v>
      </c>
      <c r="D8" s="27" t="s">
        <v>21</v>
      </c>
      <c r="E8" s="26" t="s">
        <v>22</v>
      </c>
      <c r="F8" s="28">
        <v>220000</v>
      </c>
      <c r="G8" s="29">
        <v>598.5</v>
      </c>
      <c r="H8" s="30">
        <f t="shared" ref="H8:H13" si="0">F8*G8</f>
        <v>131670000</v>
      </c>
      <c r="I8" s="31">
        <v>220000</v>
      </c>
      <c r="J8" s="32">
        <v>693</v>
      </c>
      <c r="K8" s="32">
        <f t="shared" ref="K8:K13" si="1">I8*J8</f>
        <v>152460000</v>
      </c>
      <c r="L8" s="30">
        <f t="shared" ref="L8:L13" si="2">J8-G8</f>
        <v>94.5</v>
      </c>
      <c r="M8" s="33" t="s">
        <v>23</v>
      </c>
      <c r="N8" s="27" t="s">
        <v>24</v>
      </c>
      <c r="O8" s="27">
        <v>1</v>
      </c>
      <c r="P8" s="34" t="s">
        <v>25</v>
      </c>
      <c r="Q8" s="22"/>
      <c r="R8" s="2321"/>
      <c r="S8" s="35"/>
    </row>
    <row r="9" spans="1:31" s="36" customFormat="1" ht="18">
      <c r="A9" s="37">
        <v>2</v>
      </c>
      <c r="B9" s="37">
        <v>2</v>
      </c>
      <c r="C9" s="38" t="s">
        <v>26</v>
      </c>
      <c r="D9" s="39" t="s">
        <v>27</v>
      </c>
      <c r="E9" s="38" t="s">
        <v>22</v>
      </c>
      <c r="F9" s="40">
        <v>40000</v>
      </c>
      <c r="G9" s="41">
        <v>598.5</v>
      </c>
      <c r="H9" s="42">
        <f t="shared" si="0"/>
        <v>23940000</v>
      </c>
      <c r="I9" s="43">
        <v>40000</v>
      </c>
      <c r="J9" s="44">
        <v>693</v>
      </c>
      <c r="K9" s="44">
        <f t="shared" si="1"/>
        <v>27720000</v>
      </c>
      <c r="L9" s="30">
        <f t="shared" si="2"/>
        <v>94.5</v>
      </c>
      <c r="M9" s="45" t="s">
        <v>23</v>
      </c>
      <c r="N9" s="39" t="s">
        <v>28</v>
      </c>
      <c r="O9" s="39">
        <v>1</v>
      </c>
      <c r="P9" s="46" t="s">
        <v>25</v>
      </c>
      <c r="Q9" s="22"/>
      <c r="R9" s="2321"/>
      <c r="S9" s="35"/>
    </row>
    <row r="10" spans="1:31" s="36" customFormat="1" ht="18">
      <c r="A10" s="37">
        <v>2</v>
      </c>
      <c r="B10" s="37">
        <v>3</v>
      </c>
      <c r="C10" s="38" t="s">
        <v>29</v>
      </c>
      <c r="D10" s="39" t="s">
        <v>30</v>
      </c>
      <c r="E10" s="38" t="s">
        <v>22</v>
      </c>
      <c r="F10" s="40">
        <v>2500000</v>
      </c>
      <c r="G10" s="41">
        <v>598.5</v>
      </c>
      <c r="H10" s="42">
        <f t="shared" si="0"/>
        <v>1496250000</v>
      </c>
      <c r="I10" s="43">
        <v>2500000</v>
      </c>
      <c r="J10" s="44">
        <v>693</v>
      </c>
      <c r="K10" s="44">
        <f t="shared" si="1"/>
        <v>1732500000</v>
      </c>
      <c r="L10" s="30">
        <f t="shared" si="2"/>
        <v>94.5</v>
      </c>
      <c r="M10" s="45" t="s">
        <v>23</v>
      </c>
      <c r="N10" s="39" t="s">
        <v>31</v>
      </c>
      <c r="O10" s="39">
        <v>1</v>
      </c>
      <c r="P10" s="46" t="s">
        <v>25</v>
      </c>
      <c r="Q10" s="22"/>
      <c r="R10" s="2321"/>
      <c r="S10" s="35"/>
    </row>
    <row r="11" spans="1:31" s="36" customFormat="1" ht="18">
      <c r="A11" s="37">
        <v>4</v>
      </c>
      <c r="B11" s="37">
        <v>4</v>
      </c>
      <c r="C11" s="38" t="s">
        <v>32</v>
      </c>
      <c r="D11" s="39" t="s">
        <v>33</v>
      </c>
      <c r="E11" s="38" t="s">
        <v>22</v>
      </c>
      <c r="F11" s="40">
        <v>2000000</v>
      </c>
      <c r="G11" s="41">
        <v>966</v>
      </c>
      <c r="H11" s="42">
        <f t="shared" si="0"/>
        <v>1932000000</v>
      </c>
      <c r="I11" s="43">
        <v>2000000</v>
      </c>
      <c r="J11" s="44">
        <v>1092</v>
      </c>
      <c r="K11" s="44">
        <f t="shared" si="1"/>
        <v>2184000000</v>
      </c>
      <c r="L11" s="30">
        <f t="shared" si="2"/>
        <v>126</v>
      </c>
      <c r="M11" s="45" t="s">
        <v>23</v>
      </c>
      <c r="N11" s="39" t="s">
        <v>34</v>
      </c>
      <c r="O11" s="39">
        <v>1</v>
      </c>
      <c r="P11" s="46" t="s">
        <v>25</v>
      </c>
      <c r="Q11" s="22"/>
      <c r="R11" s="2321"/>
      <c r="S11" s="35"/>
    </row>
    <row r="12" spans="1:31" s="36" customFormat="1" ht="18">
      <c r="A12" s="37">
        <v>5</v>
      </c>
      <c r="B12" s="37">
        <v>5</v>
      </c>
      <c r="C12" s="38" t="s">
        <v>35</v>
      </c>
      <c r="D12" s="39" t="s">
        <v>36</v>
      </c>
      <c r="E12" s="38" t="s">
        <v>22</v>
      </c>
      <c r="F12" s="40">
        <v>500000</v>
      </c>
      <c r="G12" s="41">
        <v>1722</v>
      </c>
      <c r="H12" s="42">
        <f t="shared" si="0"/>
        <v>861000000</v>
      </c>
      <c r="I12" s="43">
        <v>500000</v>
      </c>
      <c r="J12" s="44">
        <v>2310</v>
      </c>
      <c r="K12" s="44">
        <f t="shared" si="1"/>
        <v>1155000000</v>
      </c>
      <c r="L12" s="30">
        <f t="shared" si="2"/>
        <v>588</v>
      </c>
      <c r="M12" s="45" t="s">
        <v>23</v>
      </c>
      <c r="N12" s="39" t="s">
        <v>37</v>
      </c>
      <c r="O12" s="39">
        <v>1</v>
      </c>
      <c r="P12" s="46" t="s">
        <v>25</v>
      </c>
      <c r="Q12" s="22"/>
      <c r="R12" s="2321" t="s">
        <v>38</v>
      </c>
      <c r="S12" s="35"/>
    </row>
    <row r="13" spans="1:31" s="36" customFormat="1" ht="18">
      <c r="A13" s="47">
        <v>6</v>
      </c>
      <c r="B13" s="47">
        <v>6</v>
      </c>
      <c r="C13" s="48" t="s">
        <v>39</v>
      </c>
      <c r="D13" s="49" t="s">
        <v>40</v>
      </c>
      <c r="E13" s="48" t="s">
        <v>22</v>
      </c>
      <c r="F13" s="50">
        <v>60000</v>
      </c>
      <c r="G13" s="51">
        <v>4095</v>
      </c>
      <c r="H13" s="52">
        <f t="shared" si="0"/>
        <v>245700000</v>
      </c>
      <c r="I13" s="53">
        <v>60000</v>
      </c>
      <c r="J13" s="54">
        <v>4200</v>
      </c>
      <c r="K13" s="54">
        <f t="shared" si="1"/>
        <v>252000000</v>
      </c>
      <c r="L13" s="30">
        <f t="shared" si="2"/>
        <v>105</v>
      </c>
      <c r="M13" s="55" t="s">
        <v>23</v>
      </c>
      <c r="N13" s="49" t="s">
        <v>41</v>
      </c>
      <c r="O13" s="49">
        <v>1</v>
      </c>
      <c r="P13" s="56" t="s">
        <v>25</v>
      </c>
      <c r="Q13" s="22"/>
      <c r="R13" s="2321"/>
      <c r="S13" s="35"/>
    </row>
    <row r="14" spans="1:31" s="36" customFormat="1">
      <c r="A14" s="57"/>
      <c r="B14" s="57"/>
      <c r="C14" s="58" t="s">
        <v>42</v>
      </c>
      <c r="D14" s="59"/>
      <c r="E14" s="60"/>
      <c r="F14" s="61"/>
      <c r="G14" s="61"/>
      <c r="H14" s="2280">
        <f>SUM(H8:H13)</f>
        <v>4690560000</v>
      </c>
      <c r="I14" s="62"/>
      <c r="J14" s="62"/>
      <c r="K14" s="62">
        <f>SUM(K8:K13)</f>
        <v>5503680000</v>
      </c>
      <c r="L14" s="62"/>
      <c r="M14" s="19"/>
      <c r="N14" s="63"/>
      <c r="O14" s="63"/>
      <c r="P14" s="21"/>
      <c r="Q14" s="22"/>
      <c r="R14" s="2321"/>
      <c r="S14" s="35"/>
    </row>
    <row r="15" spans="1:31" s="70" customFormat="1">
      <c r="A15" s="64"/>
      <c r="B15" s="64"/>
      <c r="C15" s="65" t="s">
        <v>43</v>
      </c>
      <c r="D15" s="66"/>
      <c r="E15" s="66"/>
      <c r="F15" s="67"/>
      <c r="G15" s="67"/>
      <c r="H15" s="62"/>
      <c r="I15" s="62"/>
      <c r="J15" s="62"/>
      <c r="K15" s="62"/>
      <c r="L15" s="62"/>
      <c r="M15" s="59"/>
      <c r="N15" s="59"/>
      <c r="O15" s="59"/>
      <c r="P15" s="21"/>
      <c r="Q15" s="22"/>
      <c r="R15" s="2322"/>
      <c r="S15" s="68"/>
      <c r="T15" s="69"/>
      <c r="U15" s="69"/>
      <c r="V15" s="69"/>
      <c r="W15" s="69"/>
      <c r="X15" s="69"/>
      <c r="Y15" s="69"/>
      <c r="Z15" s="69"/>
      <c r="AA15" s="69"/>
      <c r="AB15" s="69"/>
      <c r="AC15" s="69"/>
    </row>
    <row r="18" spans="1:31">
      <c r="A18" s="71" t="s">
        <v>44</v>
      </c>
    </row>
    <row r="20" spans="1:31" s="12" customFormat="1">
      <c r="A20" s="2092" t="s">
        <v>5</v>
      </c>
      <c r="B20" s="2092" t="s">
        <v>6</v>
      </c>
      <c r="C20" s="2094" t="s">
        <v>7</v>
      </c>
      <c r="D20" s="2096" t="s">
        <v>8</v>
      </c>
      <c r="E20" s="2092" t="s">
        <v>9</v>
      </c>
      <c r="F20" s="2098" t="s">
        <v>10</v>
      </c>
      <c r="G20" s="2098"/>
      <c r="H20" s="2098"/>
      <c r="I20" s="2098" t="s">
        <v>11</v>
      </c>
      <c r="J20" s="2098"/>
      <c r="K20" s="2098"/>
      <c r="L20" s="2099" t="s">
        <v>12</v>
      </c>
      <c r="M20" s="9"/>
      <c r="N20" s="9"/>
      <c r="O20" s="9"/>
      <c r="P20" s="2101" t="s">
        <v>13</v>
      </c>
      <c r="Q20" s="2265" t="s">
        <v>4740</v>
      </c>
      <c r="R20" s="2319" t="s">
        <v>4754</v>
      </c>
      <c r="S20" s="2267" t="s">
        <v>4767</v>
      </c>
      <c r="T20" s="2268"/>
      <c r="U20" s="2268"/>
      <c r="V20" s="2268"/>
      <c r="W20" s="2269"/>
      <c r="X20" s="2267" t="s">
        <v>4768</v>
      </c>
      <c r="Y20" s="2268"/>
      <c r="Z20" s="2268"/>
      <c r="AA20" s="2268"/>
      <c r="AB20" s="2268"/>
      <c r="AC20" s="2268"/>
      <c r="AD20" s="2268"/>
      <c r="AE20" s="2269"/>
    </row>
    <row r="21" spans="1:31" s="16" customFormat="1" ht="27">
      <c r="A21" s="2093"/>
      <c r="B21" s="2093"/>
      <c r="C21" s="2095"/>
      <c r="D21" s="2097"/>
      <c r="E21" s="2093"/>
      <c r="F21" s="13" t="s">
        <v>14</v>
      </c>
      <c r="G21" s="13" t="s">
        <v>15</v>
      </c>
      <c r="H21" s="13" t="s">
        <v>16</v>
      </c>
      <c r="I21" s="13" t="s">
        <v>14</v>
      </c>
      <c r="J21" s="13" t="s">
        <v>15</v>
      </c>
      <c r="K21" s="13" t="s">
        <v>16</v>
      </c>
      <c r="L21" s="2100"/>
      <c r="M21" s="14" t="s">
        <v>17</v>
      </c>
      <c r="N21" s="14" t="s">
        <v>18</v>
      </c>
      <c r="O21" s="14" t="s">
        <v>19</v>
      </c>
      <c r="P21" s="2102"/>
      <c r="Q21" s="2266"/>
      <c r="R21" s="2320"/>
      <c r="S21" s="2263" t="s">
        <v>4755</v>
      </c>
      <c r="T21" s="2263" t="s">
        <v>4756</v>
      </c>
      <c r="U21" s="2263" t="s">
        <v>4757</v>
      </c>
      <c r="V21" s="2263" t="s">
        <v>4758</v>
      </c>
      <c r="W21" s="2263" t="s">
        <v>4759</v>
      </c>
      <c r="X21" s="2264" t="s">
        <v>4760</v>
      </c>
      <c r="Y21" s="2264" t="s">
        <v>4761</v>
      </c>
      <c r="Z21" s="2264" t="s">
        <v>4762</v>
      </c>
      <c r="AA21" s="2264" t="s">
        <v>4763</v>
      </c>
      <c r="AB21" s="2264" t="s">
        <v>4764</v>
      </c>
      <c r="AC21" s="2264" t="s">
        <v>4765</v>
      </c>
      <c r="AD21" s="2264" t="s">
        <v>4766</v>
      </c>
      <c r="AE21" s="2264" t="s">
        <v>4755</v>
      </c>
    </row>
    <row r="22" spans="1:31" s="24" customFormat="1">
      <c r="A22" s="17">
        <v>1</v>
      </c>
      <c r="B22" s="17">
        <v>2</v>
      </c>
      <c r="C22" s="18">
        <v>3</v>
      </c>
      <c r="D22" s="19">
        <v>4</v>
      </c>
      <c r="E22" s="17">
        <v>5</v>
      </c>
      <c r="F22" s="13">
        <v>6</v>
      </c>
      <c r="G22" s="20">
        <v>7</v>
      </c>
      <c r="H22" s="20">
        <v>8</v>
      </c>
      <c r="I22" s="20"/>
      <c r="J22" s="20">
        <v>9</v>
      </c>
      <c r="K22" s="20">
        <v>10</v>
      </c>
      <c r="L22" s="20"/>
      <c r="M22" s="19">
        <v>9</v>
      </c>
      <c r="N22" s="19">
        <v>10</v>
      </c>
      <c r="O22" s="19">
        <v>11</v>
      </c>
      <c r="P22" s="21">
        <v>11</v>
      </c>
      <c r="Q22" s="22"/>
      <c r="R22" s="2321"/>
      <c r="S22" s="23"/>
    </row>
    <row r="23" spans="1:31" ht="18">
      <c r="A23" s="76">
        <v>7</v>
      </c>
      <c r="B23" s="76">
        <v>1</v>
      </c>
      <c r="C23" s="77" t="s">
        <v>45</v>
      </c>
      <c r="D23" s="76" t="s">
        <v>46</v>
      </c>
      <c r="E23" s="76" t="s">
        <v>47</v>
      </c>
      <c r="F23" s="78">
        <v>90000</v>
      </c>
      <c r="G23" s="79">
        <f>1040*1.05</f>
        <v>1092</v>
      </c>
      <c r="H23" s="80">
        <f>+G23*F23</f>
        <v>98280000</v>
      </c>
      <c r="I23" s="81">
        <v>90000</v>
      </c>
      <c r="J23" s="32">
        <v>1700</v>
      </c>
      <c r="K23" s="32">
        <f>I23*J23</f>
        <v>153000000</v>
      </c>
      <c r="L23" s="30">
        <f t="shared" ref="L23:L35" si="3">J23-G23</f>
        <v>608</v>
      </c>
      <c r="M23" s="82" t="s">
        <v>48</v>
      </c>
      <c r="N23" s="83" t="s">
        <v>49</v>
      </c>
      <c r="O23" s="84"/>
      <c r="P23" s="85" t="s">
        <v>50</v>
      </c>
      <c r="Q23" s="22"/>
    </row>
    <row r="24" spans="1:31">
      <c r="A24" s="37">
        <v>8</v>
      </c>
      <c r="B24" s="37">
        <v>2</v>
      </c>
      <c r="C24" s="39" t="s">
        <v>51</v>
      </c>
      <c r="D24" s="37" t="s">
        <v>52</v>
      </c>
      <c r="E24" s="37" t="s">
        <v>47</v>
      </c>
      <c r="F24" s="86">
        <v>35000</v>
      </c>
      <c r="G24" s="87">
        <f>470*1.05</f>
        <v>493.5</v>
      </c>
      <c r="H24" s="88">
        <f t="shared" ref="H24:H35" si="4">+G24*F24</f>
        <v>17272500</v>
      </c>
      <c r="I24" s="43">
        <v>35000</v>
      </c>
      <c r="J24" s="44">
        <v>800</v>
      </c>
      <c r="K24" s="32">
        <f t="shared" ref="K24:K35" si="5">I24*J24</f>
        <v>28000000</v>
      </c>
      <c r="L24" s="30">
        <f t="shared" si="3"/>
        <v>306.5</v>
      </c>
      <c r="M24" s="89" t="s">
        <v>53</v>
      </c>
      <c r="N24" s="90" t="s">
        <v>54</v>
      </c>
      <c r="O24" s="91"/>
      <c r="P24" s="56" t="s">
        <v>50</v>
      </c>
      <c r="Q24" s="22"/>
    </row>
    <row r="25" spans="1:31">
      <c r="A25" s="37">
        <v>9</v>
      </c>
      <c r="B25" s="37">
        <v>3</v>
      </c>
      <c r="C25" s="39" t="s">
        <v>55</v>
      </c>
      <c r="D25" s="37" t="s">
        <v>52</v>
      </c>
      <c r="E25" s="37" t="s">
        <v>47</v>
      </c>
      <c r="F25" s="86">
        <v>4000</v>
      </c>
      <c r="G25" s="92">
        <f>1800*1.05</f>
        <v>1890</v>
      </c>
      <c r="H25" s="88">
        <f t="shared" si="4"/>
        <v>7560000</v>
      </c>
      <c r="I25" s="43">
        <v>4000</v>
      </c>
      <c r="J25" s="44">
        <v>2600</v>
      </c>
      <c r="K25" s="32">
        <f t="shared" si="5"/>
        <v>10400000</v>
      </c>
      <c r="L25" s="30">
        <f t="shared" si="3"/>
        <v>710</v>
      </c>
      <c r="M25" s="89" t="s">
        <v>56</v>
      </c>
      <c r="N25" s="90" t="s">
        <v>57</v>
      </c>
      <c r="O25" s="91"/>
      <c r="P25" s="56" t="s">
        <v>50</v>
      </c>
      <c r="Q25" s="22"/>
    </row>
    <row r="26" spans="1:31">
      <c r="A26" s="37">
        <v>10</v>
      </c>
      <c r="B26" s="37">
        <v>4</v>
      </c>
      <c r="C26" s="39" t="s">
        <v>58</v>
      </c>
      <c r="D26" s="37" t="s">
        <v>52</v>
      </c>
      <c r="E26" s="37" t="s">
        <v>47</v>
      </c>
      <c r="F26" s="86">
        <v>10000</v>
      </c>
      <c r="G26" s="92">
        <f>940*1.05</f>
        <v>987</v>
      </c>
      <c r="H26" s="88">
        <f t="shared" si="4"/>
        <v>9870000</v>
      </c>
      <c r="I26" s="43">
        <v>10000</v>
      </c>
      <c r="J26" s="44">
        <v>1500</v>
      </c>
      <c r="K26" s="32">
        <f t="shared" si="5"/>
        <v>15000000</v>
      </c>
      <c r="L26" s="30">
        <f t="shared" si="3"/>
        <v>513</v>
      </c>
      <c r="M26" s="89" t="s">
        <v>53</v>
      </c>
      <c r="N26" s="93" t="s">
        <v>57</v>
      </c>
      <c r="O26" s="91"/>
      <c r="P26" s="56" t="s">
        <v>50</v>
      </c>
      <c r="Q26" s="22"/>
    </row>
    <row r="27" spans="1:31">
      <c r="A27" s="37">
        <v>11</v>
      </c>
      <c r="B27" s="37">
        <v>5</v>
      </c>
      <c r="C27" s="39" t="s">
        <v>59</v>
      </c>
      <c r="D27" s="37" t="s">
        <v>60</v>
      </c>
      <c r="E27" s="37" t="s">
        <v>47</v>
      </c>
      <c r="F27" s="86">
        <v>100</v>
      </c>
      <c r="G27" s="92">
        <f>11000*1.05</f>
        <v>11550</v>
      </c>
      <c r="H27" s="88">
        <f t="shared" si="4"/>
        <v>1155000</v>
      </c>
      <c r="I27" s="43">
        <v>100</v>
      </c>
      <c r="J27" s="44">
        <v>16800</v>
      </c>
      <c r="K27" s="32">
        <f t="shared" si="5"/>
        <v>1680000</v>
      </c>
      <c r="L27" s="30">
        <f t="shared" si="3"/>
        <v>5250</v>
      </c>
      <c r="M27" s="89" t="s">
        <v>61</v>
      </c>
      <c r="N27" s="90" t="s">
        <v>62</v>
      </c>
      <c r="O27" s="91"/>
      <c r="P27" s="56" t="s">
        <v>50</v>
      </c>
      <c r="Q27" s="22"/>
    </row>
    <row r="28" spans="1:31" ht="18">
      <c r="A28" s="37">
        <v>12</v>
      </c>
      <c r="B28" s="37">
        <v>6</v>
      </c>
      <c r="C28" s="39" t="s">
        <v>63</v>
      </c>
      <c r="D28" s="37" t="s">
        <v>60</v>
      </c>
      <c r="E28" s="37" t="s">
        <v>47</v>
      </c>
      <c r="F28" s="86">
        <v>15000</v>
      </c>
      <c r="G28" s="92">
        <f>5600*1.05</f>
        <v>5880</v>
      </c>
      <c r="H28" s="88">
        <f t="shared" si="4"/>
        <v>88200000</v>
      </c>
      <c r="I28" s="43">
        <v>15000</v>
      </c>
      <c r="J28" s="44">
        <v>8000</v>
      </c>
      <c r="K28" s="32">
        <f t="shared" si="5"/>
        <v>120000000</v>
      </c>
      <c r="L28" s="30">
        <f t="shared" si="3"/>
        <v>2120</v>
      </c>
      <c r="M28" s="89" t="s">
        <v>64</v>
      </c>
      <c r="N28" s="90" t="s">
        <v>65</v>
      </c>
      <c r="O28" s="91"/>
      <c r="P28" s="56" t="s">
        <v>50</v>
      </c>
      <c r="Q28" s="22"/>
    </row>
    <row r="29" spans="1:31" ht="18">
      <c r="A29" s="37">
        <v>13</v>
      </c>
      <c r="B29" s="37">
        <v>7</v>
      </c>
      <c r="C29" s="39" t="s">
        <v>66</v>
      </c>
      <c r="D29" s="37" t="s">
        <v>67</v>
      </c>
      <c r="E29" s="37" t="s">
        <v>47</v>
      </c>
      <c r="F29" s="86">
        <v>50000</v>
      </c>
      <c r="G29" s="92">
        <f>2900*1.05</f>
        <v>3045</v>
      </c>
      <c r="H29" s="88">
        <f t="shared" si="4"/>
        <v>152250000</v>
      </c>
      <c r="I29" s="43">
        <v>50000</v>
      </c>
      <c r="J29" s="44">
        <v>5000</v>
      </c>
      <c r="K29" s="32">
        <f t="shared" si="5"/>
        <v>250000000</v>
      </c>
      <c r="L29" s="30">
        <f t="shared" si="3"/>
        <v>1955</v>
      </c>
      <c r="M29" s="89" t="s">
        <v>64</v>
      </c>
      <c r="N29" s="90" t="s">
        <v>68</v>
      </c>
      <c r="O29" s="91"/>
      <c r="P29" s="56" t="s">
        <v>50</v>
      </c>
      <c r="Q29" s="22"/>
    </row>
    <row r="30" spans="1:31">
      <c r="A30" s="37">
        <v>14</v>
      </c>
      <c r="B30" s="37">
        <v>8</v>
      </c>
      <c r="C30" s="39" t="s">
        <v>69</v>
      </c>
      <c r="D30" s="37" t="s">
        <v>70</v>
      </c>
      <c r="E30" s="37" t="s">
        <v>47</v>
      </c>
      <c r="F30" s="86">
        <v>2000</v>
      </c>
      <c r="G30" s="92">
        <f>4700*1.05</f>
        <v>4935</v>
      </c>
      <c r="H30" s="88">
        <f t="shared" si="4"/>
        <v>9870000</v>
      </c>
      <c r="I30" s="43">
        <v>2000</v>
      </c>
      <c r="J30" s="44">
        <v>5800</v>
      </c>
      <c r="K30" s="32">
        <f t="shared" si="5"/>
        <v>11600000</v>
      </c>
      <c r="L30" s="30">
        <f t="shared" si="3"/>
        <v>865</v>
      </c>
      <c r="M30" s="89" t="s">
        <v>61</v>
      </c>
      <c r="N30" s="90" t="s">
        <v>71</v>
      </c>
      <c r="O30" s="91"/>
      <c r="P30" s="56" t="s">
        <v>50</v>
      </c>
      <c r="Q30" s="22"/>
    </row>
    <row r="31" spans="1:31">
      <c r="A31" s="37">
        <v>15</v>
      </c>
      <c r="B31" s="37">
        <v>9</v>
      </c>
      <c r="C31" s="39" t="s">
        <v>72</v>
      </c>
      <c r="D31" s="37" t="s">
        <v>60</v>
      </c>
      <c r="E31" s="37" t="s">
        <v>47</v>
      </c>
      <c r="F31" s="86">
        <v>100</v>
      </c>
      <c r="G31" s="92">
        <f>12800*1.05</f>
        <v>13440</v>
      </c>
      <c r="H31" s="88">
        <f t="shared" si="4"/>
        <v>1344000</v>
      </c>
      <c r="I31" s="43">
        <v>100</v>
      </c>
      <c r="J31" s="44">
        <v>17000</v>
      </c>
      <c r="K31" s="32">
        <f t="shared" si="5"/>
        <v>1700000</v>
      </c>
      <c r="L31" s="30">
        <f t="shared" si="3"/>
        <v>3560</v>
      </c>
      <c r="M31" s="89" t="s">
        <v>61</v>
      </c>
      <c r="N31" s="90" t="s">
        <v>73</v>
      </c>
      <c r="O31" s="91"/>
      <c r="P31" s="56" t="s">
        <v>50</v>
      </c>
      <c r="Q31" s="22"/>
    </row>
    <row r="32" spans="1:31" ht="18">
      <c r="A32" s="37">
        <v>16</v>
      </c>
      <c r="B32" s="37">
        <v>10</v>
      </c>
      <c r="C32" s="39" t="s">
        <v>74</v>
      </c>
      <c r="D32" s="37" t="s">
        <v>75</v>
      </c>
      <c r="E32" s="37" t="s">
        <v>47</v>
      </c>
      <c r="F32" s="86">
        <v>15000</v>
      </c>
      <c r="G32" s="92">
        <f>10800*1.05</f>
        <v>11340</v>
      </c>
      <c r="H32" s="88">
        <f t="shared" si="4"/>
        <v>170100000</v>
      </c>
      <c r="I32" s="43">
        <v>15000</v>
      </c>
      <c r="J32" s="44">
        <v>14500</v>
      </c>
      <c r="K32" s="32">
        <f t="shared" si="5"/>
        <v>217500000</v>
      </c>
      <c r="L32" s="30">
        <f t="shared" si="3"/>
        <v>3160</v>
      </c>
      <c r="M32" s="89" t="s">
        <v>76</v>
      </c>
      <c r="N32" s="90" t="s">
        <v>77</v>
      </c>
      <c r="O32" s="91"/>
      <c r="P32" s="56" t="s">
        <v>50</v>
      </c>
      <c r="Q32" s="22"/>
    </row>
    <row r="33" spans="1:31" ht="18">
      <c r="A33" s="37">
        <v>17</v>
      </c>
      <c r="B33" s="37">
        <v>11</v>
      </c>
      <c r="C33" s="39" t="s">
        <v>78</v>
      </c>
      <c r="D33" s="37" t="s">
        <v>75</v>
      </c>
      <c r="E33" s="37" t="s">
        <v>47</v>
      </c>
      <c r="F33" s="86">
        <v>300</v>
      </c>
      <c r="G33" s="92">
        <f>35000*1.05</f>
        <v>36750</v>
      </c>
      <c r="H33" s="88">
        <f t="shared" si="4"/>
        <v>11025000</v>
      </c>
      <c r="I33" s="43">
        <v>300</v>
      </c>
      <c r="J33" s="44">
        <v>45000</v>
      </c>
      <c r="K33" s="32">
        <f t="shared" si="5"/>
        <v>13500000</v>
      </c>
      <c r="L33" s="30">
        <f t="shared" si="3"/>
        <v>8250</v>
      </c>
      <c r="M33" s="89" t="s">
        <v>76</v>
      </c>
      <c r="N33" s="90" t="s">
        <v>79</v>
      </c>
      <c r="O33" s="91"/>
      <c r="P33" s="56" t="s">
        <v>50</v>
      </c>
      <c r="Q33" s="22"/>
    </row>
    <row r="34" spans="1:31" ht="18">
      <c r="A34" s="37">
        <v>18</v>
      </c>
      <c r="B34" s="37">
        <v>12</v>
      </c>
      <c r="C34" s="39" t="s">
        <v>80</v>
      </c>
      <c r="D34" s="37" t="s">
        <v>60</v>
      </c>
      <c r="E34" s="37" t="s">
        <v>47</v>
      </c>
      <c r="F34" s="86">
        <v>100</v>
      </c>
      <c r="G34" s="92">
        <f>5400*1.05</f>
        <v>5670</v>
      </c>
      <c r="H34" s="88">
        <f t="shared" si="4"/>
        <v>567000</v>
      </c>
      <c r="I34" s="43">
        <v>100</v>
      </c>
      <c r="J34" s="44">
        <v>6000</v>
      </c>
      <c r="K34" s="32">
        <f t="shared" si="5"/>
        <v>600000</v>
      </c>
      <c r="L34" s="30">
        <f t="shared" si="3"/>
        <v>330</v>
      </c>
      <c r="M34" s="89" t="s">
        <v>64</v>
      </c>
      <c r="N34" s="90" t="s">
        <v>81</v>
      </c>
      <c r="O34" s="91"/>
      <c r="P34" s="56" t="s">
        <v>50</v>
      </c>
      <c r="Q34" s="22"/>
    </row>
    <row r="35" spans="1:31" ht="18">
      <c r="A35" s="94">
        <v>19</v>
      </c>
      <c r="B35" s="94">
        <v>13</v>
      </c>
      <c r="C35" s="95" t="s">
        <v>82</v>
      </c>
      <c r="D35" s="94" t="s">
        <v>60</v>
      </c>
      <c r="E35" s="94" t="s">
        <v>47</v>
      </c>
      <c r="F35" s="96">
        <v>3500</v>
      </c>
      <c r="G35" s="97">
        <f>7200*1.05</f>
        <v>7560</v>
      </c>
      <c r="H35" s="98">
        <f t="shared" si="4"/>
        <v>26460000</v>
      </c>
      <c r="I35" s="99">
        <v>3500</v>
      </c>
      <c r="J35" s="54">
        <v>15000</v>
      </c>
      <c r="K35" s="32">
        <f t="shared" si="5"/>
        <v>52500000</v>
      </c>
      <c r="L35" s="30">
        <f t="shared" si="3"/>
        <v>7440</v>
      </c>
      <c r="M35" s="100" t="s">
        <v>83</v>
      </c>
      <c r="N35" s="101" t="s">
        <v>84</v>
      </c>
      <c r="O35" s="102"/>
      <c r="P35" s="56" t="s">
        <v>50</v>
      </c>
      <c r="Q35" s="22"/>
    </row>
    <row r="36" spans="1:31">
      <c r="A36" s="57"/>
      <c r="B36" s="57"/>
      <c r="C36" s="63" t="s">
        <v>85</v>
      </c>
      <c r="D36" s="57"/>
      <c r="E36" s="57"/>
      <c r="F36" s="103"/>
      <c r="G36" s="103"/>
      <c r="H36" s="104">
        <f>+SUM(H23:H35)</f>
        <v>593953500</v>
      </c>
      <c r="I36" s="104"/>
      <c r="J36" s="104"/>
      <c r="K36" s="104">
        <f>+SUM(K23:K35)</f>
        <v>875480000</v>
      </c>
      <c r="L36" s="104"/>
      <c r="M36" s="105"/>
      <c r="N36" s="105"/>
      <c r="O36" s="105"/>
      <c r="P36" s="21"/>
      <c r="Q36" s="22"/>
    </row>
    <row r="37" spans="1:31">
      <c r="C37" s="72" t="s">
        <v>86</v>
      </c>
    </row>
    <row r="39" spans="1:31">
      <c r="A39" s="71" t="s">
        <v>87</v>
      </c>
    </row>
    <row r="40" spans="1:31" s="12" customFormat="1">
      <c r="A40" s="2092" t="s">
        <v>5</v>
      </c>
      <c r="B40" s="2092" t="s">
        <v>6</v>
      </c>
      <c r="C40" s="2094" t="s">
        <v>7</v>
      </c>
      <c r="D40" s="2096" t="s">
        <v>8</v>
      </c>
      <c r="E40" s="2092" t="s">
        <v>9</v>
      </c>
      <c r="F40" s="2098" t="s">
        <v>10</v>
      </c>
      <c r="G40" s="2098"/>
      <c r="H40" s="2098"/>
      <c r="I40" s="2098" t="s">
        <v>11</v>
      </c>
      <c r="J40" s="2098"/>
      <c r="K40" s="2098"/>
      <c r="L40" s="2099" t="s">
        <v>12</v>
      </c>
      <c r="M40" s="9"/>
      <c r="N40" s="9"/>
      <c r="O40" s="9"/>
      <c r="P40" s="2101" t="s">
        <v>13</v>
      </c>
      <c r="Q40" s="2265" t="s">
        <v>4740</v>
      </c>
      <c r="R40" s="2319" t="s">
        <v>4754</v>
      </c>
      <c r="S40" s="2267" t="s">
        <v>4767</v>
      </c>
      <c r="T40" s="2268"/>
      <c r="U40" s="2268"/>
      <c r="V40" s="2268"/>
      <c r="W40" s="2269"/>
      <c r="X40" s="2267" t="s">
        <v>4768</v>
      </c>
      <c r="Y40" s="2268"/>
      <c r="Z40" s="2268"/>
      <c r="AA40" s="2268"/>
      <c r="AB40" s="2268"/>
      <c r="AC40" s="2268"/>
      <c r="AD40" s="2268"/>
      <c r="AE40" s="2269"/>
    </row>
    <row r="41" spans="1:31" s="16" customFormat="1" ht="27">
      <c r="A41" s="2093"/>
      <c r="B41" s="2093"/>
      <c r="C41" s="2095"/>
      <c r="D41" s="2097"/>
      <c r="E41" s="2093"/>
      <c r="F41" s="13" t="s">
        <v>14</v>
      </c>
      <c r="G41" s="13" t="s">
        <v>15</v>
      </c>
      <c r="H41" s="13" t="s">
        <v>16</v>
      </c>
      <c r="I41" s="13" t="s">
        <v>14</v>
      </c>
      <c r="J41" s="13" t="s">
        <v>15</v>
      </c>
      <c r="K41" s="13" t="s">
        <v>16</v>
      </c>
      <c r="L41" s="2100"/>
      <c r="M41" s="14" t="s">
        <v>17</v>
      </c>
      <c r="N41" s="14" t="s">
        <v>18</v>
      </c>
      <c r="O41" s="14" t="s">
        <v>19</v>
      </c>
      <c r="P41" s="2102"/>
      <c r="Q41" s="2266"/>
      <c r="R41" s="2320"/>
      <c r="S41" s="2263" t="s">
        <v>4755</v>
      </c>
      <c r="T41" s="2263" t="s">
        <v>4756</v>
      </c>
      <c r="U41" s="2263" t="s">
        <v>4757</v>
      </c>
      <c r="V41" s="2263" t="s">
        <v>4758</v>
      </c>
      <c r="W41" s="2263" t="s">
        <v>4759</v>
      </c>
      <c r="X41" s="2264" t="s">
        <v>4760</v>
      </c>
      <c r="Y41" s="2264" t="s">
        <v>4761</v>
      </c>
      <c r="Z41" s="2264" t="s">
        <v>4762</v>
      </c>
      <c r="AA41" s="2264" t="s">
        <v>4763</v>
      </c>
      <c r="AB41" s="2264" t="s">
        <v>4764</v>
      </c>
      <c r="AC41" s="2264" t="s">
        <v>4765</v>
      </c>
      <c r="AD41" s="2264" t="s">
        <v>4766</v>
      </c>
      <c r="AE41" s="2264" t="s">
        <v>4755</v>
      </c>
    </row>
    <row r="42" spans="1:31" s="24" customFormat="1">
      <c r="A42" s="17">
        <v>1</v>
      </c>
      <c r="B42" s="17">
        <v>2</v>
      </c>
      <c r="C42" s="18">
        <v>3</v>
      </c>
      <c r="D42" s="19">
        <v>4</v>
      </c>
      <c r="E42" s="17">
        <v>5</v>
      </c>
      <c r="F42" s="13">
        <v>6</v>
      </c>
      <c r="G42" s="20">
        <v>7</v>
      </c>
      <c r="H42" s="20">
        <v>8</v>
      </c>
      <c r="I42" s="20"/>
      <c r="J42" s="20">
        <v>9</v>
      </c>
      <c r="K42" s="20">
        <v>10</v>
      </c>
      <c r="L42" s="20"/>
      <c r="M42" s="19">
        <v>9</v>
      </c>
      <c r="N42" s="19">
        <v>10</v>
      </c>
      <c r="O42" s="19">
        <v>11</v>
      </c>
      <c r="P42" s="21">
        <v>11</v>
      </c>
      <c r="Q42" s="22"/>
      <c r="R42" s="2321"/>
      <c r="S42" s="23"/>
    </row>
    <row r="43" spans="1:31">
      <c r="A43" s="106">
        <v>20</v>
      </c>
      <c r="B43" s="106">
        <v>1</v>
      </c>
      <c r="C43" s="107" t="s">
        <v>88</v>
      </c>
      <c r="D43" s="108" t="s">
        <v>89</v>
      </c>
      <c r="E43" s="109" t="s">
        <v>47</v>
      </c>
      <c r="F43" s="110">
        <v>37000</v>
      </c>
      <c r="G43" s="107">
        <v>13000</v>
      </c>
      <c r="H43" s="111">
        <f>F43*G43</f>
        <v>481000000</v>
      </c>
      <c r="I43" s="112">
        <v>37000</v>
      </c>
      <c r="J43" s="113">
        <v>13500</v>
      </c>
      <c r="K43" s="113">
        <f>I43*J43</f>
        <v>499500000</v>
      </c>
      <c r="L43" s="114">
        <f t="shared" ref="L43:L59" si="6">J43-G43</f>
        <v>500</v>
      </c>
      <c r="M43" s="108" t="s">
        <v>90</v>
      </c>
      <c r="N43" s="106" t="s">
        <v>91</v>
      </c>
      <c r="O43" s="108" t="s">
        <v>92</v>
      </c>
      <c r="P43" s="106" t="s">
        <v>93</v>
      </c>
      <c r="Q43" s="115"/>
    </row>
    <row r="44" spans="1:31" ht="18">
      <c r="A44" s="116">
        <v>21</v>
      </c>
      <c r="B44" s="116">
        <v>2</v>
      </c>
      <c r="C44" s="117" t="s">
        <v>94</v>
      </c>
      <c r="D44" s="118" t="s">
        <v>95</v>
      </c>
      <c r="E44" s="119" t="s">
        <v>47</v>
      </c>
      <c r="F44" s="120">
        <v>200</v>
      </c>
      <c r="G44" s="117">
        <v>95000</v>
      </c>
      <c r="H44" s="121">
        <f t="shared" ref="H44:H59" si="7">F44*G44</f>
        <v>19000000</v>
      </c>
      <c r="I44" s="122">
        <v>200</v>
      </c>
      <c r="J44" s="117">
        <v>105000</v>
      </c>
      <c r="K44" s="113">
        <f t="shared" ref="K44:K59" si="8">I44*J44</f>
        <v>21000000</v>
      </c>
      <c r="L44" s="114">
        <f t="shared" si="6"/>
        <v>10000</v>
      </c>
      <c r="M44" s="118" t="s">
        <v>96</v>
      </c>
      <c r="N44" s="118" t="s">
        <v>97</v>
      </c>
      <c r="O44" s="118" t="s">
        <v>98</v>
      </c>
      <c r="P44" s="116" t="s">
        <v>93</v>
      </c>
      <c r="Q44" s="115"/>
    </row>
    <row r="45" spans="1:31" ht="18">
      <c r="A45" s="116">
        <v>22</v>
      </c>
      <c r="B45" s="116">
        <v>3</v>
      </c>
      <c r="C45" s="117" t="s">
        <v>99</v>
      </c>
      <c r="D45" s="118" t="s">
        <v>95</v>
      </c>
      <c r="E45" s="119" t="s">
        <v>47</v>
      </c>
      <c r="F45" s="120">
        <v>400</v>
      </c>
      <c r="G45" s="117">
        <v>150000</v>
      </c>
      <c r="H45" s="121">
        <f t="shared" si="7"/>
        <v>60000000</v>
      </c>
      <c r="I45" s="122">
        <v>400</v>
      </c>
      <c r="J45" s="117">
        <v>180000</v>
      </c>
      <c r="K45" s="113">
        <f t="shared" si="8"/>
        <v>72000000</v>
      </c>
      <c r="L45" s="114">
        <f t="shared" si="6"/>
        <v>30000</v>
      </c>
      <c r="M45" s="118" t="s">
        <v>96</v>
      </c>
      <c r="N45" s="118" t="s">
        <v>97</v>
      </c>
      <c r="O45" s="118" t="s">
        <v>100</v>
      </c>
      <c r="P45" s="116" t="s">
        <v>93</v>
      </c>
      <c r="Q45" s="115"/>
    </row>
    <row r="46" spans="1:31" ht="18">
      <c r="A46" s="116">
        <v>23</v>
      </c>
      <c r="B46" s="116">
        <v>4</v>
      </c>
      <c r="C46" s="117" t="s">
        <v>101</v>
      </c>
      <c r="D46" s="118" t="s">
        <v>95</v>
      </c>
      <c r="E46" s="119" t="s">
        <v>47</v>
      </c>
      <c r="F46" s="120">
        <v>100</v>
      </c>
      <c r="G46" s="117">
        <v>110000</v>
      </c>
      <c r="H46" s="121">
        <f t="shared" si="7"/>
        <v>11000000</v>
      </c>
      <c r="I46" s="122">
        <v>100</v>
      </c>
      <c r="J46" s="117">
        <v>125000</v>
      </c>
      <c r="K46" s="113">
        <f t="shared" si="8"/>
        <v>12500000</v>
      </c>
      <c r="L46" s="114">
        <f t="shared" si="6"/>
        <v>15000</v>
      </c>
      <c r="M46" s="118" t="s">
        <v>96</v>
      </c>
      <c r="N46" s="118" t="s">
        <v>97</v>
      </c>
      <c r="O46" s="118" t="s">
        <v>102</v>
      </c>
      <c r="P46" s="116" t="s">
        <v>93</v>
      </c>
      <c r="Q46" s="115"/>
    </row>
    <row r="47" spans="1:31">
      <c r="A47" s="116">
        <v>24</v>
      </c>
      <c r="B47" s="116">
        <v>5</v>
      </c>
      <c r="C47" s="117" t="s">
        <v>103</v>
      </c>
      <c r="D47" s="118" t="s">
        <v>104</v>
      </c>
      <c r="E47" s="119" t="s">
        <v>47</v>
      </c>
      <c r="F47" s="120">
        <v>10000</v>
      </c>
      <c r="G47" s="117">
        <v>19000</v>
      </c>
      <c r="H47" s="121">
        <f t="shared" si="7"/>
        <v>190000000</v>
      </c>
      <c r="I47" s="122">
        <v>10000</v>
      </c>
      <c r="J47" s="117">
        <v>20000</v>
      </c>
      <c r="K47" s="113">
        <f t="shared" si="8"/>
        <v>200000000</v>
      </c>
      <c r="L47" s="114">
        <f t="shared" si="6"/>
        <v>1000</v>
      </c>
      <c r="M47" s="118" t="s">
        <v>105</v>
      </c>
      <c r="N47" s="118" t="s">
        <v>106</v>
      </c>
      <c r="O47" s="118" t="s">
        <v>107</v>
      </c>
      <c r="P47" s="116" t="s">
        <v>93</v>
      </c>
      <c r="Q47" s="115"/>
    </row>
    <row r="48" spans="1:31">
      <c r="A48" s="116">
        <v>25</v>
      </c>
      <c r="B48" s="116">
        <v>6</v>
      </c>
      <c r="C48" s="117" t="s">
        <v>108</v>
      </c>
      <c r="D48" s="118" t="s">
        <v>104</v>
      </c>
      <c r="E48" s="119" t="s">
        <v>47</v>
      </c>
      <c r="F48" s="120">
        <v>5000</v>
      </c>
      <c r="G48" s="117">
        <v>19500</v>
      </c>
      <c r="H48" s="121">
        <f t="shared" si="7"/>
        <v>97500000</v>
      </c>
      <c r="I48" s="122">
        <v>5000</v>
      </c>
      <c r="J48" s="117">
        <v>21000</v>
      </c>
      <c r="K48" s="113">
        <f t="shared" si="8"/>
        <v>105000000</v>
      </c>
      <c r="L48" s="114">
        <f t="shared" si="6"/>
        <v>1500</v>
      </c>
      <c r="M48" s="118" t="s">
        <v>109</v>
      </c>
      <c r="N48" s="118" t="s">
        <v>110</v>
      </c>
      <c r="O48" s="118" t="s">
        <v>111</v>
      </c>
      <c r="P48" s="116" t="s">
        <v>93</v>
      </c>
      <c r="Q48" s="115"/>
    </row>
    <row r="49" spans="1:31" ht="18">
      <c r="A49" s="116">
        <v>26</v>
      </c>
      <c r="B49" s="116">
        <v>7</v>
      </c>
      <c r="C49" s="117" t="s">
        <v>112</v>
      </c>
      <c r="D49" s="118" t="s">
        <v>104</v>
      </c>
      <c r="E49" s="119" t="s">
        <v>47</v>
      </c>
      <c r="F49" s="120">
        <v>14000</v>
      </c>
      <c r="G49" s="117">
        <v>18000</v>
      </c>
      <c r="H49" s="121">
        <f t="shared" si="7"/>
        <v>252000000</v>
      </c>
      <c r="I49" s="122">
        <v>14000</v>
      </c>
      <c r="J49" s="117">
        <v>21000</v>
      </c>
      <c r="K49" s="113">
        <f t="shared" si="8"/>
        <v>294000000</v>
      </c>
      <c r="L49" s="114">
        <f t="shared" si="6"/>
        <v>3000</v>
      </c>
      <c r="M49" s="118" t="s">
        <v>96</v>
      </c>
      <c r="N49" s="118" t="s">
        <v>113</v>
      </c>
      <c r="O49" s="118" t="s">
        <v>114</v>
      </c>
      <c r="P49" s="116" t="s">
        <v>93</v>
      </c>
      <c r="Q49" s="115"/>
    </row>
    <row r="50" spans="1:31" ht="18">
      <c r="A50" s="116">
        <v>27</v>
      </c>
      <c r="B50" s="116">
        <v>8</v>
      </c>
      <c r="C50" s="117" t="s">
        <v>115</v>
      </c>
      <c r="D50" s="118" t="s">
        <v>104</v>
      </c>
      <c r="E50" s="119" t="s">
        <v>47</v>
      </c>
      <c r="F50" s="120">
        <v>5000</v>
      </c>
      <c r="G50" s="117">
        <v>25000</v>
      </c>
      <c r="H50" s="121">
        <f t="shared" si="7"/>
        <v>125000000</v>
      </c>
      <c r="I50" s="122">
        <v>5000</v>
      </c>
      <c r="J50" s="117">
        <v>30000</v>
      </c>
      <c r="K50" s="113">
        <f t="shared" si="8"/>
        <v>150000000</v>
      </c>
      <c r="L50" s="114">
        <f t="shared" si="6"/>
        <v>5000</v>
      </c>
      <c r="M50" s="123" t="s">
        <v>105</v>
      </c>
      <c r="N50" s="118" t="s">
        <v>116</v>
      </c>
      <c r="O50" s="118" t="s">
        <v>116</v>
      </c>
      <c r="P50" s="116" t="s">
        <v>93</v>
      </c>
      <c r="Q50" s="115"/>
    </row>
    <row r="51" spans="1:31" ht="18">
      <c r="A51" s="116">
        <v>28</v>
      </c>
      <c r="B51" s="116">
        <v>9</v>
      </c>
      <c r="C51" s="117" t="s">
        <v>117</v>
      </c>
      <c r="D51" s="118" t="s">
        <v>118</v>
      </c>
      <c r="E51" s="119" t="s">
        <v>47</v>
      </c>
      <c r="F51" s="120">
        <v>20</v>
      </c>
      <c r="G51" s="117">
        <v>265000</v>
      </c>
      <c r="H51" s="121">
        <f t="shared" si="7"/>
        <v>5300000</v>
      </c>
      <c r="I51" s="122">
        <v>20</v>
      </c>
      <c r="J51" s="117">
        <v>280000</v>
      </c>
      <c r="K51" s="113">
        <f t="shared" si="8"/>
        <v>5600000</v>
      </c>
      <c r="L51" s="114">
        <f t="shared" si="6"/>
        <v>15000</v>
      </c>
      <c r="M51" s="123" t="s">
        <v>119</v>
      </c>
      <c r="N51" s="118" t="s">
        <v>120</v>
      </c>
      <c r="O51" s="118" t="s">
        <v>121</v>
      </c>
      <c r="P51" s="116" t="s">
        <v>93</v>
      </c>
      <c r="Q51" s="115"/>
    </row>
    <row r="52" spans="1:31" ht="18">
      <c r="A52" s="116">
        <v>29</v>
      </c>
      <c r="B52" s="116">
        <v>10</v>
      </c>
      <c r="C52" s="117" t="s">
        <v>122</v>
      </c>
      <c r="D52" s="118" t="s">
        <v>104</v>
      </c>
      <c r="E52" s="119" t="s">
        <v>47</v>
      </c>
      <c r="F52" s="120">
        <v>1000000</v>
      </c>
      <c r="G52" s="117">
        <v>510</v>
      </c>
      <c r="H52" s="121">
        <f t="shared" si="7"/>
        <v>510000000</v>
      </c>
      <c r="I52" s="122">
        <v>1000000</v>
      </c>
      <c r="J52" s="117">
        <v>600</v>
      </c>
      <c r="K52" s="113">
        <f t="shared" si="8"/>
        <v>600000000</v>
      </c>
      <c r="L52" s="114">
        <f t="shared" si="6"/>
        <v>90</v>
      </c>
      <c r="M52" s="124" t="s">
        <v>123</v>
      </c>
      <c r="N52" s="118" t="s">
        <v>124</v>
      </c>
      <c r="O52" s="118" t="s">
        <v>125</v>
      </c>
      <c r="P52" s="116" t="s">
        <v>93</v>
      </c>
      <c r="Q52" s="115"/>
    </row>
    <row r="53" spans="1:31">
      <c r="A53" s="116">
        <v>30</v>
      </c>
      <c r="B53" s="116">
        <v>11</v>
      </c>
      <c r="C53" s="117" t="s">
        <v>126</v>
      </c>
      <c r="D53" s="118" t="s">
        <v>127</v>
      </c>
      <c r="E53" s="119" t="s">
        <v>47</v>
      </c>
      <c r="F53" s="120">
        <v>20000</v>
      </c>
      <c r="G53" s="117">
        <v>3000</v>
      </c>
      <c r="H53" s="121">
        <f t="shared" si="7"/>
        <v>60000000</v>
      </c>
      <c r="I53" s="122">
        <v>20000</v>
      </c>
      <c r="J53" s="117">
        <v>3800</v>
      </c>
      <c r="K53" s="113">
        <f t="shared" si="8"/>
        <v>76000000</v>
      </c>
      <c r="L53" s="114">
        <f t="shared" si="6"/>
        <v>800</v>
      </c>
      <c r="M53" s="118" t="s">
        <v>128</v>
      </c>
      <c r="N53" s="118" t="s">
        <v>129</v>
      </c>
      <c r="O53" s="118" t="s">
        <v>130</v>
      </c>
      <c r="P53" s="116" t="s">
        <v>93</v>
      </c>
      <c r="Q53" s="115"/>
    </row>
    <row r="54" spans="1:31">
      <c r="A54" s="116">
        <v>31</v>
      </c>
      <c r="B54" s="116">
        <v>12</v>
      </c>
      <c r="C54" s="117" t="s">
        <v>131</v>
      </c>
      <c r="D54" s="118" t="s">
        <v>132</v>
      </c>
      <c r="E54" s="119" t="s">
        <v>47</v>
      </c>
      <c r="F54" s="120">
        <v>2000</v>
      </c>
      <c r="G54" s="117">
        <v>1600</v>
      </c>
      <c r="H54" s="121">
        <f t="shared" si="7"/>
        <v>3200000</v>
      </c>
      <c r="I54" s="122">
        <v>2000</v>
      </c>
      <c r="J54" s="117">
        <v>1800</v>
      </c>
      <c r="K54" s="113">
        <f t="shared" si="8"/>
        <v>3600000</v>
      </c>
      <c r="L54" s="114">
        <f t="shared" si="6"/>
        <v>200</v>
      </c>
      <c r="M54" s="118" t="s">
        <v>133</v>
      </c>
      <c r="N54" s="118" t="s">
        <v>134</v>
      </c>
      <c r="O54" s="118" t="s">
        <v>135</v>
      </c>
      <c r="P54" s="116" t="s">
        <v>93</v>
      </c>
      <c r="Q54" s="115"/>
    </row>
    <row r="55" spans="1:31">
      <c r="A55" s="116">
        <v>32</v>
      </c>
      <c r="B55" s="116">
        <v>13</v>
      </c>
      <c r="C55" s="117" t="s">
        <v>136</v>
      </c>
      <c r="D55" s="118" t="s">
        <v>104</v>
      </c>
      <c r="E55" s="119" t="s">
        <v>47</v>
      </c>
      <c r="F55" s="120">
        <v>80000</v>
      </c>
      <c r="G55" s="117">
        <v>9800</v>
      </c>
      <c r="H55" s="121">
        <f t="shared" si="7"/>
        <v>784000000</v>
      </c>
      <c r="I55" s="122">
        <v>80000</v>
      </c>
      <c r="J55" s="117">
        <v>13800</v>
      </c>
      <c r="K55" s="113">
        <f t="shared" si="8"/>
        <v>1104000000</v>
      </c>
      <c r="L55" s="114">
        <f t="shared" si="6"/>
        <v>4000</v>
      </c>
      <c r="M55" s="118" t="s">
        <v>137</v>
      </c>
      <c r="N55" s="118" t="s">
        <v>138</v>
      </c>
      <c r="O55" s="118" t="s">
        <v>139</v>
      </c>
      <c r="P55" s="116" t="s">
        <v>93</v>
      </c>
      <c r="Q55" s="115"/>
    </row>
    <row r="56" spans="1:31">
      <c r="A56" s="116">
        <v>33</v>
      </c>
      <c r="B56" s="116">
        <v>14</v>
      </c>
      <c r="C56" s="117" t="s">
        <v>140</v>
      </c>
      <c r="D56" s="118" t="s">
        <v>141</v>
      </c>
      <c r="E56" s="119" t="s">
        <v>47</v>
      </c>
      <c r="F56" s="120">
        <v>500</v>
      </c>
      <c r="G56" s="117">
        <v>49000</v>
      </c>
      <c r="H56" s="121">
        <f t="shared" si="7"/>
        <v>24500000</v>
      </c>
      <c r="I56" s="122">
        <v>500</v>
      </c>
      <c r="J56" s="117">
        <v>55200</v>
      </c>
      <c r="K56" s="113">
        <f t="shared" si="8"/>
        <v>27600000</v>
      </c>
      <c r="L56" s="114">
        <f t="shared" si="6"/>
        <v>6200</v>
      </c>
      <c r="M56" s="125" t="s">
        <v>142</v>
      </c>
      <c r="N56" s="118" t="s">
        <v>143</v>
      </c>
      <c r="O56" s="118" t="s">
        <v>144</v>
      </c>
      <c r="P56" s="116" t="s">
        <v>93</v>
      </c>
      <c r="Q56" s="115"/>
    </row>
    <row r="57" spans="1:31" ht="18">
      <c r="A57" s="116">
        <v>34</v>
      </c>
      <c r="B57" s="116">
        <v>15</v>
      </c>
      <c r="C57" s="117" t="s">
        <v>145</v>
      </c>
      <c r="D57" s="118" t="s">
        <v>146</v>
      </c>
      <c r="E57" s="119" t="s">
        <v>47</v>
      </c>
      <c r="F57" s="120">
        <v>15000</v>
      </c>
      <c r="G57" s="117">
        <v>125000</v>
      </c>
      <c r="H57" s="121">
        <f t="shared" si="7"/>
        <v>1875000000</v>
      </c>
      <c r="I57" s="122">
        <v>15000</v>
      </c>
      <c r="J57" s="117">
        <v>150000</v>
      </c>
      <c r="K57" s="113">
        <f t="shared" si="8"/>
        <v>2250000000</v>
      </c>
      <c r="L57" s="114">
        <f t="shared" si="6"/>
        <v>25000</v>
      </c>
      <c r="M57" s="125" t="s">
        <v>147</v>
      </c>
      <c r="N57" s="118" t="s">
        <v>148</v>
      </c>
      <c r="O57" s="118" t="s">
        <v>149</v>
      </c>
      <c r="P57" s="116" t="s">
        <v>93</v>
      </c>
      <c r="Q57" s="115"/>
    </row>
    <row r="58" spans="1:31" ht="18">
      <c r="A58" s="116">
        <v>35</v>
      </c>
      <c r="B58" s="116">
        <v>16</v>
      </c>
      <c r="C58" s="117" t="s">
        <v>150</v>
      </c>
      <c r="D58" s="118" t="s">
        <v>146</v>
      </c>
      <c r="E58" s="119" t="s">
        <v>47</v>
      </c>
      <c r="F58" s="120">
        <v>10000</v>
      </c>
      <c r="G58" s="117">
        <v>210000</v>
      </c>
      <c r="H58" s="121">
        <f t="shared" si="7"/>
        <v>2100000000</v>
      </c>
      <c r="I58" s="126">
        <v>10000</v>
      </c>
      <c r="J58" s="127">
        <v>230000</v>
      </c>
      <c r="K58" s="113">
        <f t="shared" si="8"/>
        <v>2300000000</v>
      </c>
      <c r="L58" s="114">
        <f t="shared" si="6"/>
        <v>20000</v>
      </c>
      <c r="M58" s="125" t="s">
        <v>147</v>
      </c>
      <c r="N58" s="118" t="s">
        <v>151</v>
      </c>
      <c r="O58" s="118" t="s">
        <v>149</v>
      </c>
      <c r="P58" s="116" t="s">
        <v>93</v>
      </c>
      <c r="Q58" s="115"/>
    </row>
    <row r="59" spans="1:31">
      <c r="A59" s="128">
        <v>36</v>
      </c>
      <c r="B59" s="128">
        <v>17</v>
      </c>
      <c r="C59" s="129" t="s">
        <v>152</v>
      </c>
      <c r="D59" s="130" t="s">
        <v>104</v>
      </c>
      <c r="E59" s="131" t="s">
        <v>47</v>
      </c>
      <c r="F59" s="132">
        <v>40000</v>
      </c>
      <c r="G59" s="129">
        <v>9000</v>
      </c>
      <c r="H59" s="133">
        <f t="shared" si="7"/>
        <v>360000000</v>
      </c>
      <c r="I59" s="134">
        <v>40000</v>
      </c>
      <c r="J59" s="129">
        <v>13500</v>
      </c>
      <c r="K59" s="113">
        <f t="shared" si="8"/>
        <v>540000000</v>
      </c>
      <c r="L59" s="114">
        <f t="shared" si="6"/>
        <v>4500</v>
      </c>
      <c r="M59" s="130" t="s">
        <v>137</v>
      </c>
      <c r="N59" s="130" t="s">
        <v>138</v>
      </c>
      <c r="O59" s="130" t="s">
        <v>153</v>
      </c>
      <c r="P59" s="128" t="s">
        <v>93</v>
      </c>
      <c r="Q59" s="115"/>
    </row>
    <row r="60" spans="1:31">
      <c r="A60" s="135"/>
      <c r="B60" s="136"/>
      <c r="C60" s="137" t="s">
        <v>154</v>
      </c>
      <c r="D60" s="135"/>
      <c r="E60" s="138"/>
      <c r="F60" s="139"/>
      <c r="G60" s="140"/>
      <c r="H60" s="2281">
        <f>SUM(H43:H59)</f>
        <v>6957500000</v>
      </c>
      <c r="I60" s="141"/>
      <c r="J60" s="141"/>
      <c r="K60" s="141">
        <f>SUM(K43:K59)</f>
        <v>8260800000</v>
      </c>
      <c r="L60" s="141"/>
      <c r="M60" s="135"/>
      <c r="N60" s="135"/>
      <c r="O60" s="135"/>
      <c r="P60" s="142"/>
      <c r="Q60" s="115"/>
    </row>
    <row r="61" spans="1:31">
      <c r="A61" s="143"/>
      <c r="B61" s="143"/>
      <c r="C61" s="144" t="s">
        <v>155</v>
      </c>
      <c r="D61" s="145"/>
      <c r="E61" s="145"/>
      <c r="F61" s="145"/>
      <c r="G61" s="145"/>
      <c r="H61" s="145"/>
      <c r="I61" s="145"/>
      <c r="J61" s="145"/>
      <c r="K61" s="145"/>
      <c r="L61" s="145"/>
      <c r="M61" s="145"/>
      <c r="N61" s="145"/>
      <c r="O61" s="145"/>
    </row>
    <row r="63" spans="1:31">
      <c r="A63" s="71" t="s">
        <v>156</v>
      </c>
    </row>
    <row r="64" spans="1:31" s="12" customFormat="1">
      <c r="A64" s="2092" t="s">
        <v>5</v>
      </c>
      <c r="B64" s="2092" t="s">
        <v>6</v>
      </c>
      <c r="C64" s="2094" t="s">
        <v>7</v>
      </c>
      <c r="D64" s="2096" t="s">
        <v>8</v>
      </c>
      <c r="E64" s="2092" t="s">
        <v>9</v>
      </c>
      <c r="F64" s="2098" t="s">
        <v>10</v>
      </c>
      <c r="G64" s="2098"/>
      <c r="H64" s="2098"/>
      <c r="I64" s="2098" t="s">
        <v>11</v>
      </c>
      <c r="J64" s="2098"/>
      <c r="K64" s="2098"/>
      <c r="L64" s="2099" t="s">
        <v>12</v>
      </c>
      <c r="M64" s="9"/>
      <c r="N64" s="9"/>
      <c r="O64" s="9"/>
      <c r="P64" s="2101" t="s">
        <v>13</v>
      </c>
      <c r="Q64" s="2265" t="s">
        <v>4740</v>
      </c>
      <c r="R64" s="2319" t="s">
        <v>4754</v>
      </c>
      <c r="S64" s="2267" t="s">
        <v>4767</v>
      </c>
      <c r="T64" s="2268"/>
      <c r="U64" s="2268"/>
      <c r="V64" s="2268"/>
      <c r="W64" s="2269"/>
      <c r="X64" s="2267" t="s">
        <v>4768</v>
      </c>
      <c r="Y64" s="2268"/>
      <c r="Z64" s="2268"/>
      <c r="AA64" s="2268"/>
      <c r="AB64" s="2268"/>
      <c r="AC64" s="2268"/>
      <c r="AD64" s="2268"/>
      <c r="AE64" s="2269"/>
    </row>
    <row r="65" spans="1:31" s="16" customFormat="1" ht="27">
      <c r="A65" s="2093"/>
      <c r="B65" s="2093"/>
      <c r="C65" s="2095"/>
      <c r="D65" s="2097"/>
      <c r="E65" s="2093"/>
      <c r="F65" s="13" t="s">
        <v>14</v>
      </c>
      <c r="G65" s="13" t="s">
        <v>15</v>
      </c>
      <c r="H65" s="13" t="s">
        <v>16</v>
      </c>
      <c r="I65" s="13" t="s">
        <v>14</v>
      </c>
      <c r="J65" s="13" t="s">
        <v>15</v>
      </c>
      <c r="K65" s="13" t="s">
        <v>16</v>
      </c>
      <c r="L65" s="2100"/>
      <c r="M65" s="14" t="s">
        <v>17</v>
      </c>
      <c r="N65" s="14" t="s">
        <v>18</v>
      </c>
      <c r="O65" s="14" t="s">
        <v>19</v>
      </c>
      <c r="P65" s="2102"/>
      <c r="Q65" s="2266"/>
      <c r="R65" s="2320"/>
      <c r="S65" s="2263" t="s">
        <v>4755</v>
      </c>
      <c r="T65" s="2263" t="s">
        <v>4756</v>
      </c>
      <c r="U65" s="2263" t="s">
        <v>4757</v>
      </c>
      <c r="V65" s="2263" t="s">
        <v>4758</v>
      </c>
      <c r="W65" s="2263" t="s">
        <v>4759</v>
      </c>
      <c r="X65" s="2264" t="s">
        <v>4760</v>
      </c>
      <c r="Y65" s="2264" t="s">
        <v>4761</v>
      </c>
      <c r="Z65" s="2264" t="s">
        <v>4762</v>
      </c>
      <c r="AA65" s="2264" t="s">
        <v>4763</v>
      </c>
      <c r="AB65" s="2264" t="s">
        <v>4764</v>
      </c>
      <c r="AC65" s="2264" t="s">
        <v>4765</v>
      </c>
      <c r="AD65" s="2264" t="s">
        <v>4766</v>
      </c>
      <c r="AE65" s="2264" t="s">
        <v>4755</v>
      </c>
    </row>
    <row r="66" spans="1:31" s="24" customFormat="1">
      <c r="A66" s="17">
        <v>1</v>
      </c>
      <c r="B66" s="17">
        <v>2</v>
      </c>
      <c r="C66" s="18">
        <v>3</v>
      </c>
      <c r="D66" s="19">
        <v>4</v>
      </c>
      <c r="E66" s="17">
        <v>5</v>
      </c>
      <c r="F66" s="13">
        <v>6</v>
      </c>
      <c r="G66" s="20">
        <v>7</v>
      </c>
      <c r="H66" s="20">
        <v>8</v>
      </c>
      <c r="I66" s="20"/>
      <c r="J66" s="20">
        <v>9</v>
      </c>
      <c r="K66" s="20">
        <v>10</v>
      </c>
      <c r="L66" s="20"/>
      <c r="M66" s="19">
        <v>9</v>
      </c>
      <c r="N66" s="19">
        <v>10</v>
      </c>
      <c r="O66" s="19">
        <v>11</v>
      </c>
      <c r="P66" s="21">
        <v>11</v>
      </c>
      <c r="Q66" s="22"/>
      <c r="R66" s="2321"/>
      <c r="S66" s="23"/>
    </row>
    <row r="67" spans="1:31" s="159" customFormat="1" ht="18">
      <c r="A67" s="146">
        <v>37</v>
      </c>
      <c r="B67" s="146">
        <v>1</v>
      </c>
      <c r="C67" s="147" t="s">
        <v>157</v>
      </c>
      <c r="D67" s="148" t="s">
        <v>158</v>
      </c>
      <c r="E67" s="146" t="s">
        <v>47</v>
      </c>
      <c r="F67" s="149">
        <v>10000</v>
      </c>
      <c r="G67" s="150">
        <v>35200</v>
      </c>
      <c r="H67" s="151">
        <f>F67*G67</f>
        <v>352000000</v>
      </c>
      <c r="I67" s="152">
        <v>10000</v>
      </c>
      <c r="J67" s="150">
        <v>35200</v>
      </c>
      <c r="K67" s="153">
        <f>I67*J67</f>
        <v>352000000</v>
      </c>
      <c r="L67" s="154">
        <f t="shared" ref="L67:L90" si="9">J67-G67</f>
        <v>0</v>
      </c>
      <c r="M67" s="147" t="s">
        <v>159</v>
      </c>
      <c r="N67" s="146" t="s">
        <v>160</v>
      </c>
      <c r="O67" s="155">
        <v>1</v>
      </c>
      <c r="P67" s="156" t="s">
        <v>161</v>
      </c>
      <c r="Q67" s="157"/>
      <c r="R67" s="2323"/>
      <c r="S67" s="158"/>
    </row>
    <row r="68" spans="1:31" ht="27">
      <c r="A68" s="89">
        <v>38</v>
      </c>
      <c r="B68" s="89">
        <v>2</v>
      </c>
      <c r="C68" s="38" t="s">
        <v>162</v>
      </c>
      <c r="D68" s="160" t="s">
        <v>163</v>
      </c>
      <c r="E68" s="89" t="s">
        <v>47</v>
      </c>
      <c r="F68" s="40">
        <v>18000</v>
      </c>
      <c r="G68" s="161">
        <v>21000</v>
      </c>
      <c r="H68" s="162">
        <f t="shared" ref="H68:H90" si="10">F68*G68</f>
        <v>378000000</v>
      </c>
      <c r="I68" s="43">
        <v>18000</v>
      </c>
      <c r="J68" s="163">
        <v>21200</v>
      </c>
      <c r="K68" s="164">
        <f>I68*J68</f>
        <v>381600000</v>
      </c>
      <c r="L68" s="30">
        <f t="shared" si="9"/>
        <v>200</v>
      </c>
      <c r="M68" s="38" t="s">
        <v>164</v>
      </c>
      <c r="N68" s="89" t="s">
        <v>165</v>
      </c>
      <c r="O68" s="165">
        <v>1</v>
      </c>
      <c r="P68" s="116" t="s">
        <v>161</v>
      </c>
      <c r="Q68" s="115"/>
    </row>
    <row r="69" spans="1:31" ht="18">
      <c r="A69" s="89">
        <v>39</v>
      </c>
      <c r="B69" s="89">
        <v>3</v>
      </c>
      <c r="C69" s="38" t="s">
        <v>166</v>
      </c>
      <c r="D69" s="166" t="s">
        <v>167</v>
      </c>
      <c r="E69" s="89" t="s">
        <v>47</v>
      </c>
      <c r="F69" s="40">
        <v>7000</v>
      </c>
      <c r="G69" s="161">
        <v>19200</v>
      </c>
      <c r="H69" s="162">
        <f t="shared" si="10"/>
        <v>134400000</v>
      </c>
      <c r="I69" s="43">
        <v>7000</v>
      </c>
      <c r="J69" s="163">
        <v>19500</v>
      </c>
      <c r="K69" s="164">
        <f t="shared" ref="K69:K90" si="11">I69*J69</f>
        <v>136500000</v>
      </c>
      <c r="L69" s="30">
        <f t="shared" si="9"/>
        <v>300</v>
      </c>
      <c r="M69" s="38" t="s">
        <v>168</v>
      </c>
      <c r="N69" s="89" t="s">
        <v>169</v>
      </c>
      <c r="O69" s="165">
        <v>1</v>
      </c>
      <c r="P69" s="116" t="s">
        <v>161</v>
      </c>
      <c r="Q69" s="115"/>
    </row>
    <row r="70" spans="1:31" ht="18">
      <c r="A70" s="89">
        <v>40</v>
      </c>
      <c r="B70" s="89">
        <v>4</v>
      </c>
      <c r="C70" s="38" t="s">
        <v>170</v>
      </c>
      <c r="D70" s="166" t="s">
        <v>171</v>
      </c>
      <c r="E70" s="89" t="s">
        <v>47</v>
      </c>
      <c r="F70" s="40">
        <v>8000</v>
      </c>
      <c r="G70" s="161">
        <v>16800</v>
      </c>
      <c r="H70" s="162">
        <f t="shared" si="10"/>
        <v>134400000</v>
      </c>
      <c r="I70" s="43">
        <v>8000</v>
      </c>
      <c r="J70" s="163">
        <v>17000</v>
      </c>
      <c r="K70" s="164">
        <f t="shared" si="11"/>
        <v>136000000</v>
      </c>
      <c r="L70" s="30">
        <f t="shared" si="9"/>
        <v>200</v>
      </c>
      <c r="M70" s="38" t="s">
        <v>172</v>
      </c>
      <c r="N70" s="89" t="s">
        <v>173</v>
      </c>
      <c r="O70" s="165">
        <v>1</v>
      </c>
      <c r="P70" s="116" t="s">
        <v>161</v>
      </c>
      <c r="Q70" s="115"/>
    </row>
    <row r="71" spans="1:31" ht="18">
      <c r="A71" s="89">
        <v>41</v>
      </c>
      <c r="B71" s="89">
        <v>5</v>
      </c>
      <c r="C71" s="38" t="s">
        <v>174</v>
      </c>
      <c r="D71" s="166" t="s">
        <v>175</v>
      </c>
      <c r="E71" s="89" t="s">
        <v>47</v>
      </c>
      <c r="F71" s="40">
        <v>1000</v>
      </c>
      <c r="G71" s="161">
        <v>29000</v>
      </c>
      <c r="H71" s="162">
        <f t="shared" si="10"/>
        <v>29000000</v>
      </c>
      <c r="I71" s="43">
        <v>1000</v>
      </c>
      <c r="J71" s="163">
        <v>29100</v>
      </c>
      <c r="K71" s="164">
        <f t="shared" si="11"/>
        <v>29100000</v>
      </c>
      <c r="L71" s="30">
        <f t="shared" si="9"/>
        <v>100</v>
      </c>
      <c r="M71" s="38" t="s">
        <v>172</v>
      </c>
      <c r="N71" s="89" t="s">
        <v>173</v>
      </c>
      <c r="O71" s="165">
        <v>1</v>
      </c>
      <c r="P71" s="116" t="s">
        <v>161</v>
      </c>
      <c r="Q71" s="115"/>
    </row>
    <row r="72" spans="1:31" ht="18">
      <c r="A72" s="89">
        <v>42</v>
      </c>
      <c r="B72" s="89">
        <v>6</v>
      </c>
      <c r="C72" s="38" t="s">
        <v>176</v>
      </c>
      <c r="D72" s="166" t="s">
        <v>177</v>
      </c>
      <c r="E72" s="89" t="s">
        <v>178</v>
      </c>
      <c r="F72" s="40">
        <v>250</v>
      </c>
      <c r="G72" s="161">
        <v>27000</v>
      </c>
      <c r="H72" s="162">
        <f t="shared" si="10"/>
        <v>6750000</v>
      </c>
      <c r="I72" s="43">
        <v>250</v>
      </c>
      <c r="J72" s="163">
        <v>28200</v>
      </c>
      <c r="K72" s="164">
        <f t="shared" si="11"/>
        <v>7050000</v>
      </c>
      <c r="L72" s="30">
        <f t="shared" si="9"/>
        <v>1200</v>
      </c>
      <c r="M72" s="38" t="s">
        <v>179</v>
      </c>
      <c r="N72" s="89" t="s">
        <v>180</v>
      </c>
      <c r="O72" s="165">
        <v>1</v>
      </c>
      <c r="P72" s="116" t="s">
        <v>161</v>
      </c>
      <c r="Q72" s="115"/>
    </row>
    <row r="73" spans="1:31" ht="18">
      <c r="A73" s="89">
        <v>43</v>
      </c>
      <c r="B73" s="89">
        <v>7</v>
      </c>
      <c r="C73" s="38" t="s">
        <v>181</v>
      </c>
      <c r="D73" s="166" t="s">
        <v>182</v>
      </c>
      <c r="E73" s="89" t="s">
        <v>47</v>
      </c>
      <c r="F73" s="40">
        <v>250</v>
      </c>
      <c r="G73" s="161">
        <v>237600</v>
      </c>
      <c r="H73" s="162">
        <f t="shared" si="10"/>
        <v>59400000</v>
      </c>
      <c r="I73" s="43">
        <v>200</v>
      </c>
      <c r="J73" s="163">
        <v>240000</v>
      </c>
      <c r="K73" s="164">
        <f t="shared" si="11"/>
        <v>48000000</v>
      </c>
      <c r="L73" s="30">
        <f t="shared" si="9"/>
        <v>2400</v>
      </c>
      <c r="M73" s="38" t="s">
        <v>183</v>
      </c>
      <c r="N73" s="89" t="s">
        <v>184</v>
      </c>
      <c r="O73" s="165">
        <v>1</v>
      </c>
      <c r="P73" s="116" t="s">
        <v>161</v>
      </c>
      <c r="Q73" s="115"/>
    </row>
    <row r="74" spans="1:31" ht="18">
      <c r="A74" s="89">
        <v>44</v>
      </c>
      <c r="B74" s="89">
        <v>8</v>
      </c>
      <c r="C74" s="38" t="s">
        <v>185</v>
      </c>
      <c r="D74" s="166" t="s">
        <v>182</v>
      </c>
      <c r="E74" s="89" t="s">
        <v>47</v>
      </c>
      <c r="F74" s="40">
        <v>30</v>
      </c>
      <c r="G74" s="161">
        <v>853000</v>
      </c>
      <c r="H74" s="162">
        <f t="shared" si="10"/>
        <v>25590000</v>
      </c>
      <c r="I74" s="43">
        <v>30</v>
      </c>
      <c r="J74" s="163">
        <v>855000</v>
      </c>
      <c r="K74" s="164">
        <f t="shared" si="11"/>
        <v>25650000</v>
      </c>
      <c r="L74" s="30">
        <f t="shared" si="9"/>
        <v>2000</v>
      </c>
      <c r="M74" s="38" t="s">
        <v>183</v>
      </c>
      <c r="N74" s="89" t="s">
        <v>184</v>
      </c>
      <c r="O74" s="165">
        <v>1</v>
      </c>
      <c r="P74" s="116" t="s">
        <v>161</v>
      </c>
      <c r="Q74" s="115"/>
    </row>
    <row r="75" spans="1:31" ht="18">
      <c r="A75" s="89">
        <v>45</v>
      </c>
      <c r="B75" s="89">
        <v>9</v>
      </c>
      <c r="C75" s="38" t="s">
        <v>186</v>
      </c>
      <c r="D75" s="166" t="s">
        <v>182</v>
      </c>
      <c r="E75" s="89" t="s">
        <v>47</v>
      </c>
      <c r="F75" s="40">
        <v>20</v>
      </c>
      <c r="G75" s="161">
        <v>1015000</v>
      </c>
      <c r="H75" s="162">
        <f t="shared" si="10"/>
        <v>20300000</v>
      </c>
      <c r="I75" s="43">
        <v>20</v>
      </c>
      <c r="J75" s="163">
        <v>1018000</v>
      </c>
      <c r="K75" s="164">
        <f t="shared" si="11"/>
        <v>20360000</v>
      </c>
      <c r="L75" s="30">
        <f t="shared" si="9"/>
        <v>3000</v>
      </c>
      <c r="M75" s="38" t="s">
        <v>183</v>
      </c>
      <c r="N75" s="89" t="s">
        <v>184</v>
      </c>
      <c r="O75" s="165">
        <v>1</v>
      </c>
      <c r="P75" s="116" t="s">
        <v>161</v>
      </c>
      <c r="Q75" s="115"/>
    </row>
    <row r="76" spans="1:31" ht="18">
      <c r="A76" s="89">
        <v>46</v>
      </c>
      <c r="B76" s="89">
        <v>10</v>
      </c>
      <c r="C76" s="38" t="s">
        <v>187</v>
      </c>
      <c r="D76" s="166" t="s">
        <v>182</v>
      </c>
      <c r="E76" s="89" t="s">
        <v>47</v>
      </c>
      <c r="F76" s="40">
        <v>100</v>
      </c>
      <c r="G76" s="161">
        <v>1112000</v>
      </c>
      <c r="H76" s="162">
        <f t="shared" si="10"/>
        <v>111200000</v>
      </c>
      <c r="I76" s="43">
        <v>100</v>
      </c>
      <c r="J76" s="163">
        <v>1115000</v>
      </c>
      <c r="K76" s="164">
        <f t="shared" si="11"/>
        <v>111500000</v>
      </c>
      <c r="L76" s="30">
        <f t="shared" si="9"/>
        <v>3000</v>
      </c>
      <c r="M76" s="38" t="s">
        <v>183</v>
      </c>
      <c r="N76" s="89" t="s">
        <v>184</v>
      </c>
      <c r="O76" s="165">
        <v>1</v>
      </c>
      <c r="P76" s="116" t="s">
        <v>161</v>
      </c>
      <c r="Q76" s="115"/>
    </row>
    <row r="77" spans="1:31" s="159" customFormat="1" ht="18">
      <c r="A77" s="167">
        <v>47</v>
      </c>
      <c r="B77" s="167">
        <v>11</v>
      </c>
      <c r="C77" s="168" t="s">
        <v>188</v>
      </c>
      <c r="D77" s="169" t="s">
        <v>182</v>
      </c>
      <c r="E77" s="167" t="s">
        <v>47</v>
      </c>
      <c r="F77" s="169">
        <v>500</v>
      </c>
      <c r="G77" s="150">
        <v>960000</v>
      </c>
      <c r="H77" s="170">
        <f t="shared" si="10"/>
        <v>480000000</v>
      </c>
      <c r="I77" s="171">
        <v>500</v>
      </c>
      <c r="J77" s="150">
        <v>960000</v>
      </c>
      <c r="K77" s="172">
        <f t="shared" si="11"/>
        <v>480000000</v>
      </c>
      <c r="L77" s="154">
        <f t="shared" si="9"/>
        <v>0</v>
      </c>
      <c r="M77" s="168" t="s">
        <v>183</v>
      </c>
      <c r="N77" s="167" t="s">
        <v>184</v>
      </c>
      <c r="O77" s="173">
        <v>1</v>
      </c>
      <c r="P77" s="174" t="s">
        <v>161</v>
      </c>
      <c r="Q77" s="157"/>
      <c r="R77" s="2323"/>
      <c r="S77" s="158"/>
    </row>
    <row r="78" spans="1:31" s="159" customFormat="1" ht="18">
      <c r="A78" s="167">
        <v>48</v>
      </c>
      <c r="B78" s="167">
        <v>12</v>
      </c>
      <c r="C78" s="168" t="s">
        <v>189</v>
      </c>
      <c r="D78" s="169" t="s">
        <v>182</v>
      </c>
      <c r="E78" s="167" t="s">
        <v>47</v>
      </c>
      <c r="F78" s="169">
        <v>50</v>
      </c>
      <c r="G78" s="150">
        <v>368000</v>
      </c>
      <c r="H78" s="170">
        <f t="shared" si="10"/>
        <v>18400000</v>
      </c>
      <c r="I78" s="171">
        <v>50</v>
      </c>
      <c r="J78" s="150">
        <v>368000</v>
      </c>
      <c r="K78" s="172">
        <f t="shared" si="11"/>
        <v>18400000</v>
      </c>
      <c r="L78" s="154">
        <f t="shared" si="9"/>
        <v>0</v>
      </c>
      <c r="M78" s="168" t="s">
        <v>159</v>
      </c>
      <c r="N78" s="167"/>
      <c r="O78" s="173">
        <v>1</v>
      </c>
      <c r="P78" s="174" t="s">
        <v>161</v>
      </c>
      <c r="Q78" s="157"/>
      <c r="R78" s="2323"/>
      <c r="S78" s="158"/>
    </row>
    <row r="79" spans="1:31" s="159" customFormat="1" ht="18">
      <c r="A79" s="167">
        <v>49</v>
      </c>
      <c r="B79" s="167">
        <v>13</v>
      </c>
      <c r="C79" s="168" t="s">
        <v>190</v>
      </c>
      <c r="D79" s="169" t="s">
        <v>158</v>
      </c>
      <c r="E79" s="167" t="s">
        <v>47</v>
      </c>
      <c r="F79" s="169">
        <v>10</v>
      </c>
      <c r="G79" s="150">
        <v>202000</v>
      </c>
      <c r="H79" s="170">
        <f t="shared" si="10"/>
        <v>2020000</v>
      </c>
      <c r="I79" s="171">
        <v>10</v>
      </c>
      <c r="J79" s="150">
        <v>202000</v>
      </c>
      <c r="K79" s="172">
        <f t="shared" si="11"/>
        <v>2020000</v>
      </c>
      <c r="L79" s="154">
        <f t="shared" si="9"/>
        <v>0</v>
      </c>
      <c r="M79" s="168" t="s">
        <v>159</v>
      </c>
      <c r="N79" s="167" t="s">
        <v>184</v>
      </c>
      <c r="O79" s="173">
        <v>1</v>
      </c>
      <c r="P79" s="174" t="s">
        <v>161</v>
      </c>
      <c r="Q79" s="157"/>
      <c r="R79" s="2323"/>
      <c r="S79" s="158"/>
    </row>
    <row r="80" spans="1:31" ht="18">
      <c r="A80" s="89">
        <v>50</v>
      </c>
      <c r="B80" s="89">
        <v>14</v>
      </c>
      <c r="C80" s="38" t="s">
        <v>191</v>
      </c>
      <c r="D80" s="166" t="s">
        <v>177</v>
      </c>
      <c r="E80" s="89" t="s">
        <v>192</v>
      </c>
      <c r="F80" s="40">
        <v>4000</v>
      </c>
      <c r="G80" s="161">
        <v>30650</v>
      </c>
      <c r="H80" s="162">
        <f t="shared" si="10"/>
        <v>122600000</v>
      </c>
      <c r="I80" s="43">
        <v>4000</v>
      </c>
      <c r="J80" s="163">
        <v>31000</v>
      </c>
      <c r="K80" s="164">
        <f t="shared" si="11"/>
        <v>124000000</v>
      </c>
      <c r="L80" s="30">
        <f t="shared" si="9"/>
        <v>350</v>
      </c>
      <c r="M80" s="38" t="s">
        <v>179</v>
      </c>
      <c r="N80" s="89" t="s">
        <v>193</v>
      </c>
      <c r="O80" s="165">
        <v>1</v>
      </c>
      <c r="P80" s="116" t="s">
        <v>161</v>
      </c>
      <c r="Q80" s="115"/>
    </row>
    <row r="81" spans="1:31" ht="18">
      <c r="A81" s="89">
        <v>51</v>
      </c>
      <c r="B81" s="89">
        <v>15</v>
      </c>
      <c r="C81" s="38" t="s">
        <v>194</v>
      </c>
      <c r="D81" s="89" t="s">
        <v>195</v>
      </c>
      <c r="E81" s="89" t="s">
        <v>47</v>
      </c>
      <c r="F81" s="40">
        <v>1800</v>
      </c>
      <c r="G81" s="161">
        <v>527000</v>
      </c>
      <c r="H81" s="162">
        <f t="shared" si="10"/>
        <v>948600000</v>
      </c>
      <c r="I81" s="43">
        <v>1800</v>
      </c>
      <c r="J81" s="163">
        <v>528000</v>
      </c>
      <c r="K81" s="164">
        <f t="shared" si="11"/>
        <v>950400000</v>
      </c>
      <c r="L81" s="30">
        <f t="shared" si="9"/>
        <v>1000</v>
      </c>
      <c r="M81" s="38" t="s">
        <v>196</v>
      </c>
      <c r="N81" s="89" t="s">
        <v>197</v>
      </c>
      <c r="O81" s="165">
        <v>1</v>
      </c>
      <c r="P81" s="116" t="s">
        <v>161</v>
      </c>
      <c r="Q81" s="115"/>
    </row>
    <row r="82" spans="1:31" ht="18">
      <c r="A82" s="89">
        <v>52</v>
      </c>
      <c r="B82" s="89">
        <v>16</v>
      </c>
      <c r="C82" s="38" t="s">
        <v>198</v>
      </c>
      <c r="D82" s="89" t="s">
        <v>195</v>
      </c>
      <c r="E82" s="89" t="s">
        <v>47</v>
      </c>
      <c r="F82" s="40">
        <v>100</v>
      </c>
      <c r="G82" s="161">
        <v>524000</v>
      </c>
      <c r="H82" s="162">
        <f t="shared" si="10"/>
        <v>52400000</v>
      </c>
      <c r="I82" s="43">
        <v>100</v>
      </c>
      <c r="J82" s="163">
        <v>525000</v>
      </c>
      <c r="K82" s="164">
        <f t="shared" si="11"/>
        <v>52500000</v>
      </c>
      <c r="L82" s="30">
        <f t="shared" si="9"/>
        <v>1000</v>
      </c>
      <c r="M82" s="38" t="s">
        <v>196</v>
      </c>
      <c r="N82" s="89" t="s">
        <v>197</v>
      </c>
      <c r="O82" s="165">
        <v>1</v>
      </c>
      <c r="P82" s="116" t="s">
        <v>161</v>
      </c>
      <c r="Q82" s="115"/>
    </row>
    <row r="83" spans="1:31" ht="18">
      <c r="A83" s="89">
        <v>53</v>
      </c>
      <c r="B83" s="89">
        <v>17</v>
      </c>
      <c r="C83" s="38" t="s">
        <v>199</v>
      </c>
      <c r="D83" s="89" t="s">
        <v>195</v>
      </c>
      <c r="E83" s="89" t="s">
        <v>47</v>
      </c>
      <c r="F83" s="40">
        <v>200</v>
      </c>
      <c r="G83" s="161">
        <v>700000</v>
      </c>
      <c r="H83" s="162">
        <f t="shared" si="10"/>
        <v>140000000</v>
      </c>
      <c r="I83" s="43">
        <v>200</v>
      </c>
      <c r="J83" s="163">
        <v>700000</v>
      </c>
      <c r="K83" s="164">
        <f t="shared" si="11"/>
        <v>140000000</v>
      </c>
      <c r="L83" s="30">
        <f t="shared" si="9"/>
        <v>0</v>
      </c>
      <c r="M83" s="38" t="s">
        <v>196</v>
      </c>
      <c r="N83" s="89" t="s">
        <v>197</v>
      </c>
      <c r="O83" s="165">
        <v>1</v>
      </c>
      <c r="P83" s="116" t="s">
        <v>161</v>
      </c>
      <c r="Q83" s="115"/>
    </row>
    <row r="84" spans="1:31" ht="18">
      <c r="A84" s="89">
        <v>54</v>
      </c>
      <c r="B84" s="89">
        <v>18</v>
      </c>
      <c r="C84" s="38" t="s">
        <v>200</v>
      </c>
      <c r="D84" s="89" t="s">
        <v>201</v>
      </c>
      <c r="E84" s="89" t="s">
        <v>47</v>
      </c>
      <c r="F84" s="40">
        <v>200</v>
      </c>
      <c r="G84" s="161">
        <v>290000</v>
      </c>
      <c r="H84" s="162">
        <f t="shared" si="10"/>
        <v>58000000</v>
      </c>
      <c r="I84" s="43">
        <v>200</v>
      </c>
      <c r="J84" s="163">
        <v>300000</v>
      </c>
      <c r="K84" s="164">
        <f t="shared" si="11"/>
        <v>60000000</v>
      </c>
      <c r="L84" s="30">
        <f t="shared" si="9"/>
        <v>10000</v>
      </c>
      <c r="M84" s="38" t="s">
        <v>202</v>
      </c>
      <c r="N84" s="89"/>
      <c r="O84" s="165">
        <v>1</v>
      </c>
      <c r="P84" s="116" t="s">
        <v>161</v>
      </c>
      <c r="Q84" s="115"/>
    </row>
    <row r="85" spans="1:31" ht="18">
      <c r="A85" s="89">
        <v>55</v>
      </c>
      <c r="B85" s="89">
        <v>19</v>
      </c>
      <c r="C85" s="38" t="s">
        <v>203</v>
      </c>
      <c r="D85" s="89" t="s">
        <v>201</v>
      </c>
      <c r="E85" s="89" t="s">
        <v>47</v>
      </c>
      <c r="F85" s="40">
        <v>200</v>
      </c>
      <c r="G85" s="161">
        <v>450000</v>
      </c>
      <c r="H85" s="162">
        <f t="shared" si="10"/>
        <v>90000000</v>
      </c>
      <c r="I85" s="43">
        <v>200</v>
      </c>
      <c r="J85" s="163">
        <v>452000</v>
      </c>
      <c r="K85" s="164">
        <f t="shared" si="11"/>
        <v>90400000</v>
      </c>
      <c r="L85" s="30">
        <f t="shared" si="9"/>
        <v>2000</v>
      </c>
      <c r="M85" s="38" t="s">
        <v>202</v>
      </c>
      <c r="N85" s="89"/>
      <c r="O85" s="165">
        <v>1</v>
      </c>
      <c r="P85" s="116" t="s">
        <v>161</v>
      </c>
      <c r="Q85" s="115"/>
    </row>
    <row r="86" spans="1:31" ht="18">
      <c r="A86" s="89">
        <v>56</v>
      </c>
      <c r="B86" s="89">
        <v>20</v>
      </c>
      <c r="C86" s="38" t="s">
        <v>204</v>
      </c>
      <c r="D86" s="89" t="s">
        <v>201</v>
      </c>
      <c r="E86" s="89" t="s">
        <v>47</v>
      </c>
      <c r="F86" s="40">
        <v>100</v>
      </c>
      <c r="G86" s="161">
        <v>450000</v>
      </c>
      <c r="H86" s="162">
        <f t="shared" si="10"/>
        <v>45000000</v>
      </c>
      <c r="I86" s="43">
        <v>100</v>
      </c>
      <c r="J86" s="163">
        <v>452000</v>
      </c>
      <c r="K86" s="164">
        <f t="shared" si="11"/>
        <v>45200000</v>
      </c>
      <c r="L86" s="30">
        <f t="shared" si="9"/>
        <v>2000</v>
      </c>
      <c r="M86" s="38" t="s">
        <v>202</v>
      </c>
      <c r="N86" s="89"/>
      <c r="O86" s="165">
        <v>1</v>
      </c>
      <c r="P86" s="116" t="s">
        <v>161</v>
      </c>
      <c r="Q86" s="115"/>
    </row>
    <row r="87" spans="1:31" ht="18">
      <c r="A87" s="89">
        <v>57</v>
      </c>
      <c r="B87" s="89">
        <v>21</v>
      </c>
      <c r="C87" s="38" t="s">
        <v>205</v>
      </c>
      <c r="D87" s="89" t="s">
        <v>201</v>
      </c>
      <c r="E87" s="89" t="s">
        <v>192</v>
      </c>
      <c r="F87" s="40">
        <v>150</v>
      </c>
      <c r="G87" s="161">
        <v>3612000</v>
      </c>
      <c r="H87" s="162">
        <f t="shared" si="10"/>
        <v>541800000</v>
      </c>
      <c r="I87" s="43">
        <v>150</v>
      </c>
      <c r="J87" s="163">
        <v>3620000</v>
      </c>
      <c r="K87" s="175">
        <f t="shared" si="11"/>
        <v>543000000</v>
      </c>
      <c r="L87" s="30">
        <f t="shared" si="9"/>
        <v>8000</v>
      </c>
      <c r="M87" s="38" t="s">
        <v>206</v>
      </c>
      <c r="N87" s="89"/>
      <c r="O87" s="165">
        <v>1</v>
      </c>
      <c r="P87" s="116" t="s">
        <v>161</v>
      </c>
      <c r="Q87" s="115"/>
    </row>
    <row r="88" spans="1:31" ht="18">
      <c r="A88" s="89">
        <v>58</v>
      </c>
      <c r="B88" s="89">
        <v>22</v>
      </c>
      <c r="C88" s="38" t="s">
        <v>207</v>
      </c>
      <c r="D88" s="89" t="s">
        <v>208</v>
      </c>
      <c r="E88" s="89" t="s">
        <v>209</v>
      </c>
      <c r="F88" s="40">
        <v>500</v>
      </c>
      <c r="G88" s="161">
        <v>216</v>
      </c>
      <c r="H88" s="162">
        <f t="shared" si="10"/>
        <v>108000</v>
      </c>
      <c r="I88" s="43">
        <v>500</v>
      </c>
      <c r="J88" s="163">
        <v>220</v>
      </c>
      <c r="K88" s="44">
        <f t="shared" si="11"/>
        <v>110000</v>
      </c>
      <c r="L88" s="30">
        <f t="shared" si="9"/>
        <v>4</v>
      </c>
      <c r="M88" s="38" t="s">
        <v>210</v>
      </c>
      <c r="N88" s="89" t="s">
        <v>211</v>
      </c>
      <c r="O88" s="165">
        <v>1</v>
      </c>
      <c r="P88" s="116" t="s">
        <v>161</v>
      </c>
      <c r="Q88" s="115"/>
    </row>
    <row r="89" spans="1:31" ht="18">
      <c r="A89" s="89">
        <v>59</v>
      </c>
      <c r="B89" s="89">
        <v>23</v>
      </c>
      <c r="C89" s="38" t="s">
        <v>212</v>
      </c>
      <c r="D89" s="89" t="s">
        <v>208</v>
      </c>
      <c r="E89" s="89" t="s">
        <v>209</v>
      </c>
      <c r="F89" s="40">
        <v>2500</v>
      </c>
      <c r="G89" s="161">
        <v>78</v>
      </c>
      <c r="H89" s="162">
        <f t="shared" si="10"/>
        <v>195000</v>
      </c>
      <c r="I89" s="43">
        <v>2500</v>
      </c>
      <c r="J89" s="163">
        <v>80</v>
      </c>
      <c r="K89" s="44">
        <f t="shared" si="11"/>
        <v>200000</v>
      </c>
      <c r="L89" s="30">
        <f t="shared" si="9"/>
        <v>2</v>
      </c>
      <c r="M89" s="38" t="s">
        <v>210</v>
      </c>
      <c r="N89" s="89" t="s">
        <v>211</v>
      </c>
      <c r="O89" s="165">
        <v>1</v>
      </c>
      <c r="P89" s="116" t="s">
        <v>161</v>
      </c>
      <c r="Q89" s="115"/>
    </row>
    <row r="90" spans="1:31" ht="18">
      <c r="A90" s="176">
        <v>60</v>
      </c>
      <c r="B90" s="176">
        <v>24</v>
      </c>
      <c r="C90" s="48" t="s">
        <v>213</v>
      </c>
      <c r="D90" s="176" t="s">
        <v>214</v>
      </c>
      <c r="E90" s="176" t="s">
        <v>209</v>
      </c>
      <c r="F90" s="50">
        <v>2000</v>
      </c>
      <c r="G90" s="177">
        <v>19500</v>
      </c>
      <c r="H90" s="178">
        <f t="shared" si="10"/>
        <v>39000000</v>
      </c>
      <c r="I90" s="53">
        <v>2000</v>
      </c>
      <c r="J90" s="163">
        <v>20000</v>
      </c>
      <c r="K90" s="44">
        <f t="shared" si="11"/>
        <v>40000000</v>
      </c>
      <c r="L90" s="30">
        <f t="shared" si="9"/>
        <v>500</v>
      </c>
      <c r="M90" s="48" t="s">
        <v>210</v>
      </c>
      <c r="N90" s="48"/>
      <c r="O90" s="179">
        <v>1</v>
      </c>
      <c r="P90" s="128" t="s">
        <v>161</v>
      </c>
      <c r="Q90" s="115"/>
    </row>
    <row r="91" spans="1:31">
      <c r="A91" s="2103" t="s">
        <v>215</v>
      </c>
      <c r="B91" s="2103"/>
      <c r="C91" s="2103"/>
      <c r="D91" s="2103"/>
      <c r="E91" s="2103"/>
      <c r="F91" s="2103"/>
      <c r="G91" s="2103"/>
      <c r="H91" s="2282">
        <f>SUM(H67:H90)</f>
        <v>3789163000</v>
      </c>
      <c r="I91" s="180"/>
      <c r="J91" s="180"/>
      <c r="K91" s="180">
        <f>SUM(K67:K90)</f>
        <v>3793990000</v>
      </c>
      <c r="L91" s="180"/>
      <c r="M91" s="180"/>
      <c r="N91" s="180"/>
      <c r="O91" s="181"/>
      <c r="P91" s="142"/>
      <c r="Q91" s="115"/>
    </row>
    <row r="92" spans="1:31">
      <c r="A92" s="2104" t="s">
        <v>216</v>
      </c>
      <c r="B92" s="2104"/>
      <c r="C92" s="2104"/>
      <c r="D92" s="2104"/>
      <c r="E92" s="2104"/>
      <c r="F92" s="2104"/>
      <c r="G92" s="2104"/>
      <c r="H92" s="2104"/>
      <c r="I92" s="2104"/>
      <c r="J92" s="2104"/>
      <c r="K92" s="2104"/>
      <c r="L92" s="2104"/>
      <c r="M92" s="2104"/>
      <c r="N92" s="2104"/>
      <c r="O92" s="2104"/>
    </row>
    <row r="94" spans="1:31">
      <c r="A94" s="71" t="s">
        <v>217</v>
      </c>
    </row>
    <row r="96" spans="1:31" s="12" customFormat="1">
      <c r="A96" s="2092" t="s">
        <v>5</v>
      </c>
      <c r="B96" s="2092" t="s">
        <v>6</v>
      </c>
      <c r="C96" s="2094" t="s">
        <v>7</v>
      </c>
      <c r="D96" s="2096" t="s">
        <v>8</v>
      </c>
      <c r="E96" s="2092" t="s">
        <v>9</v>
      </c>
      <c r="F96" s="2098" t="s">
        <v>10</v>
      </c>
      <c r="G96" s="2098"/>
      <c r="H96" s="2098"/>
      <c r="I96" s="2098" t="s">
        <v>11</v>
      </c>
      <c r="J96" s="2098"/>
      <c r="K96" s="2098"/>
      <c r="L96" s="2099" t="s">
        <v>12</v>
      </c>
      <c r="M96" s="9"/>
      <c r="N96" s="9"/>
      <c r="O96" s="9"/>
      <c r="P96" s="2101" t="s">
        <v>13</v>
      </c>
      <c r="Q96" s="2265" t="s">
        <v>4740</v>
      </c>
      <c r="R96" s="2319" t="s">
        <v>4754</v>
      </c>
      <c r="S96" s="2267" t="s">
        <v>4767</v>
      </c>
      <c r="T96" s="2268"/>
      <c r="U96" s="2268"/>
      <c r="V96" s="2268"/>
      <c r="W96" s="2269"/>
      <c r="X96" s="2267" t="s">
        <v>4768</v>
      </c>
      <c r="Y96" s="2268"/>
      <c r="Z96" s="2268"/>
      <c r="AA96" s="2268"/>
      <c r="AB96" s="2268"/>
      <c r="AC96" s="2268"/>
      <c r="AD96" s="2268"/>
      <c r="AE96" s="2269"/>
    </row>
    <row r="97" spans="1:31" s="16" customFormat="1" ht="30.6" customHeight="1">
      <c r="A97" s="2093"/>
      <c r="B97" s="2093"/>
      <c r="C97" s="2095"/>
      <c r="D97" s="2097"/>
      <c r="E97" s="2093"/>
      <c r="F97" s="13" t="s">
        <v>14</v>
      </c>
      <c r="G97" s="13" t="s">
        <v>15</v>
      </c>
      <c r="H97" s="13" t="s">
        <v>16</v>
      </c>
      <c r="I97" s="13" t="s">
        <v>14</v>
      </c>
      <c r="J97" s="13" t="s">
        <v>15</v>
      </c>
      <c r="K97" s="13" t="s">
        <v>16</v>
      </c>
      <c r="L97" s="2100"/>
      <c r="M97" s="14" t="s">
        <v>17</v>
      </c>
      <c r="N97" s="14" t="s">
        <v>18</v>
      </c>
      <c r="O97" s="14" t="s">
        <v>19</v>
      </c>
      <c r="P97" s="2102"/>
      <c r="Q97" s="2266"/>
      <c r="R97" s="2320"/>
      <c r="S97" s="2263" t="s">
        <v>4755</v>
      </c>
      <c r="T97" s="2263" t="s">
        <v>4756</v>
      </c>
      <c r="U97" s="2263" t="s">
        <v>4757</v>
      </c>
      <c r="V97" s="2263" t="s">
        <v>4758</v>
      </c>
      <c r="W97" s="2263" t="s">
        <v>4759</v>
      </c>
      <c r="X97" s="2264" t="s">
        <v>4760</v>
      </c>
      <c r="Y97" s="2264" t="s">
        <v>4761</v>
      </c>
      <c r="Z97" s="2264" t="s">
        <v>4762</v>
      </c>
      <c r="AA97" s="2264" t="s">
        <v>4763</v>
      </c>
      <c r="AB97" s="2264" t="s">
        <v>4764</v>
      </c>
      <c r="AC97" s="2264" t="s">
        <v>4765</v>
      </c>
      <c r="AD97" s="2264" t="s">
        <v>4766</v>
      </c>
      <c r="AE97" s="2264" t="s">
        <v>4755</v>
      </c>
    </row>
    <row r="98" spans="1:31" s="24" customFormat="1">
      <c r="A98" s="17">
        <v>1</v>
      </c>
      <c r="B98" s="17">
        <v>2</v>
      </c>
      <c r="C98" s="18">
        <v>3</v>
      </c>
      <c r="D98" s="19">
        <v>4</v>
      </c>
      <c r="E98" s="17">
        <v>5</v>
      </c>
      <c r="F98" s="13">
        <v>6</v>
      </c>
      <c r="G98" s="20">
        <v>7</v>
      </c>
      <c r="H98" s="20">
        <v>8</v>
      </c>
      <c r="I98" s="20"/>
      <c r="J98" s="20">
        <v>9</v>
      </c>
      <c r="K98" s="20">
        <v>10</v>
      </c>
      <c r="L98" s="20">
        <v>11</v>
      </c>
      <c r="M98" s="19">
        <v>9</v>
      </c>
      <c r="N98" s="19">
        <v>10</v>
      </c>
      <c r="O98" s="19">
        <v>11</v>
      </c>
      <c r="P98" s="21">
        <v>12</v>
      </c>
      <c r="Q98" s="22"/>
      <c r="R98" s="2321"/>
      <c r="S98" s="23"/>
    </row>
    <row r="99" spans="1:31" ht="12" customHeight="1">
      <c r="A99" s="182">
        <v>61</v>
      </c>
      <c r="B99" s="182">
        <v>1</v>
      </c>
      <c r="C99" s="183" t="s">
        <v>218</v>
      </c>
      <c r="D99" s="184" t="s">
        <v>219</v>
      </c>
      <c r="E99" s="182" t="s">
        <v>220</v>
      </c>
      <c r="F99" s="185">
        <v>2400</v>
      </c>
      <c r="G99" s="186">
        <f>27000*1.05</f>
        <v>28350</v>
      </c>
      <c r="H99" s="187">
        <f t="shared" ref="H99:H141" si="12">+G99*F99</f>
        <v>68040000</v>
      </c>
      <c r="I99" s="31">
        <v>2400</v>
      </c>
      <c r="J99" s="188">
        <v>32000</v>
      </c>
      <c r="K99" s="32">
        <f>I99*J99</f>
        <v>76800000</v>
      </c>
      <c r="L99" s="30">
        <f t="shared" ref="L99:L141" si="13">J99-G99</f>
        <v>3650</v>
      </c>
      <c r="M99" s="38" t="s">
        <v>221</v>
      </c>
      <c r="N99" s="189" t="s">
        <v>222</v>
      </c>
      <c r="O99" s="190"/>
      <c r="P99" s="85" t="s">
        <v>50</v>
      </c>
      <c r="Q99" s="22"/>
    </row>
    <row r="100" spans="1:31" s="73" customFormat="1" ht="12" customHeight="1">
      <c r="A100" s="191">
        <v>62</v>
      </c>
      <c r="B100" s="191">
        <v>2</v>
      </c>
      <c r="C100" s="192" t="s">
        <v>223</v>
      </c>
      <c r="D100" s="193" t="s">
        <v>224</v>
      </c>
      <c r="E100" s="191" t="s">
        <v>225</v>
      </c>
      <c r="F100" s="194">
        <v>20000</v>
      </c>
      <c r="G100" s="195">
        <f>700*1.05</f>
        <v>735</v>
      </c>
      <c r="H100" s="196">
        <f t="shared" si="12"/>
        <v>14700000</v>
      </c>
      <c r="I100" s="43">
        <v>20000</v>
      </c>
      <c r="J100" s="44">
        <v>1000</v>
      </c>
      <c r="K100" s="32">
        <f t="shared" ref="K100:K141" si="14">I100*J100</f>
        <v>20000000</v>
      </c>
      <c r="L100" s="30">
        <f t="shared" si="13"/>
        <v>265</v>
      </c>
      <c r="M100" s="38" t="s">
        <v>226</v>
      </c>
      <c r="N100" s="197" t="s">
        <v>227</v>
      </c>
      <c r="O100" s="198"/>
      <c r="P100" s="85" t="s">
        <v>50</v>
      </c>
      <c r="Q100" s="22"/>
      <c r="R100" s="1024"/>
      <c r="S100" s="75"/>
      <c r="T100" s="71"/>
      <c r="U100" s="71"/>
      <c r="V100" s="71"/>
      <c r="W100" s="71"/>
      <c r="X100" s="71"/>
      <c r="Y100" s="71"/>
      <c r="Z100" s="71"/>
      <c r="AA100" s="71"/>
      <c r="AB100" s="71"/>
      <c r="AC100" s="71"/>
    </row>
    <row r="101" spans="1:31" s="73" customFormat="1" ht="12" customHeight="1">
      <c r="A101" s="191">
        <v>63</v>
      </c>
      <c r="B101" s="191">
        <v>3</v>
      </c>
      <c r="C101" s="192" t="s">
        <v>228</v>
      </c>
      <c r="D101" s="193" t="s">
        <v>229</v>
      </c>
      <c r="E101" s="191" t="s">
        <v>225</v>
      </c>
      <c r="F101" s="194">
        <v>1000</v>
      </c>
      <c r="G101" s="195">
        <v>105</v>
      </c>
      <c r="H101" s="196">
        <f t="shared" si="12"/>
        <v>105000</v>
      </c>
      <c r="I101" s="43">
        <v>1000</v>
      </c>
      <c r="J101" s="44">
        <v>130</v>
      </c>
      <c r="K101" s="32">
        <f t="shared" si="14"/>
        <v>130000</v>
      </c>
      <c r="L101" s="30">
        <f t="shared" si="13"/>
        <v>25</v>
      </c>
      <c r="M101" s="38" t="s">
        <v>230</v>
      </c>
      <c r="N101" s="197" t="s">
        <v>231</v>
      </c>
      <c r="O101" s="198"/>
      <c r="P101" s="85" t="s">
        <v>50</v>
      </c>
      <c r="Q101" s="22"/>
      <c r="R101" s="1024"/>
      <c r="S101" s="75"/>
      <c r="T101" s="71"/>
      <c r="U101" s="71"/>
      <c r="V101" s="71"/>
      <c r="W101" s="71"/>
      <c r="X101" s="71"/>
      <c r="Y101" s="71"/>
      <c r="Z101" s="71"/>
      <c r="AA101" s="71"/>
      <c r="AB101" s="71"/>
      <c r="AC101" s="71"/>
    </row>
    <row r="102" spans="1:31" s="73" customFormat="1" ht="12" customHeight="1">
      <c r="A102" s="191">
        <v>64</v>
      </c>
      <c r="B102" s="191">
        <v>4</v>
      </c>
      <c r="C102" s="192" t="s">
        <v>232</v>
      </c>
      <c r="D102" s="193" t="s">
        <v>233</v>
      </c>
      <c r="E102" s="191" t="s">
        <v>220</v>
      </c>
      <c r="F102" s="199">
        <v>800</v>
      </c>
      <c r="G102" s="195">
        <f>236000*1.05</f>
        <v>247800</v>
      </c>
      <c r="H102" s="196">
        <f t="shared" si="12"/>
        <v>198240000</v>
      </c>
      <c r="I102" s="43">
        <v>800</v>
      </c>
      <c r="J102" s="44">
        <v>270000</v>
      </c>
      <c r="K102" s="32">
        <f t="shared" si="14"/>
        <v>216000000</v>
      </c>
      <c r="L102" s="30">
        <f t="shared" si="13"/>
        <v>22200</v>
      </c>
      <c r="M102" s="38" t="s">
        <v>234</v>
      </c>
      <c r="N102" s="197" t="s">
        <v>235</v>
      </c>
      <c r="O102" s="198"/>
      <c r="P102" s="85" t="s">
        <v>50</v>
      </c>
      <c r="Q102" s="22"/>
      <c r="R102" s="1024"/>
      <c r="S102" s="75"/>
      <c r="T102" s="71"/>
      <c r="U102" s="71"/>
      <c r="V102" s="71"/>
      <c r="W102" s="71"/>
      <c r="X102" s="71"/>
      <c r="Y102" s="71"/>
      <c r="Z102" s="71"/>
      <c r="AA102" s="71"/>
      <c r="AB102" s="71"/>
      <c r="AC102" s="71"/>
    </row>
    <row r="103" spans="1:31" s="73" customFormat="1" ht="12" customHeight="1">
      <c r="A103" s="191">
        <v>65</v>
      </c>
      <c r="B103" s="191">
        <v>5</v>
      </c>
      <c r="C103" s="192" t="s">
        <v>236</v>
      </c>
      <c r="D103" s="193" t="s">
        <v>233</v>
      </c>
      <c r="E103" s="191" t="s">
        <v>220</v>
      </c>
      <c r="F103" s="199">
        <v>120</v>
      </c>
      <c r="G103" s="195">
        <f>128000*1.05</f>
        <v>134400</v>
      </c>
      <c r="H103" s="196">
        <f t="shared" si="12"/>
        <v>16128000</v>
      </c>
      <c r="I103" s="43">
        <v>120</v>
      </c>
      <c r="J103" s="44">
        <v>145000</v>
      </c>
      <c r="K103" s="32">
        <f t="shared" si="14"/>
        <v>17400000</v>
      </c>
      <c r="L103" s="30">
        <f t="shared" si="13"/>
        <v>10600</v>
      </c>
      <c r="M103" s="38" t="s">
        <v>234</v>
      </c>
      <c r="N103" s="197" t="s">
        <v>237</v>
      </c>
      <c r="O103" s="198"/>
      <c r="P103" s="85" t="s">
        <v>50</v>
      </c>
      <c r="Q103" s="22"/>
      <c r="R103" s="1024"/>
      <c r="S103" s="75"/>
      <c r="T103" s="71"/>
      <c r="U103" s="71"/>
      <c r="V103" s="71"/>
      <c r="W103" s="71"/>
      <c r="X103" s="71"/>
      <c r="Y103" s="71"/>
      <c r="Z103" s="71"/>
      <c r="AA103" s="71"/>
      <c r="AB103" s="71"/>
      <c r="AC103" s="71"/>
    </row>
    <row r="104" spans="1:31" s="73" customFormat="1" ht="12" customHeight="1">
      <c r="A104" s="191">
        <v>66</v>
      </c>
      <c r="B104" s="191">
        <v>6</v>
      </c>
      <c r="C104" s="192" t="s">
        <v>238</v>
      </c>
      <c r="D104" s="193" t="s">
        <v>233</v>
      </c>
      <c r="E104" s="191" t="s">
        <v>220</v>
      </c>
      <c r="F104" s="199">
        <v>120</v>
      </c>
      <c r="G104" s="195">
        <v>94500</v>
      </c>
      <c r="H104" s="196">
        <f t="shared" si="12"/>
        <v>11340000</v>
      </c>
      <c r="I104" s="43">
        <v>120</v>
      </c>
      <c r="J104" s="44">
        <v>105000</v>
      </c>
      <c r="K104" s="32">
        <f t="shared" si="14"/>
        <v>12600000</v>
      </c>
      <c r="L104" s="30">
        <f t="shared" si="13"/>
        <v>10500</v>
      </c>
      <c r="M104" s="38" t="s">
        <v>234</v>
      </c>
      <c r="N104" s="197" t="s">
        <v>239</v>
      </c>
      <c r="O104" s="198"/>
      <c r="P104" s="85" t="s">
        <v>50</v>
      </c>
      <c r="Q104" s="22"/>
      <c r="R104" s="1024"/>
      <c r="S104" s="75"/>
      <c r="T104" s="71"/>
      <c r="U104" s="71"/>
      <c r="V104" s="71"/>
      <c r="W104" s="71"/>
      <c r="X104" s="71"/>
      <c r="Y104" s="71"/>
      <c r="Z104" s="71"/>
      <c r="AA104" s="71"/>
      <c r="AB104" s="71"/>
      <c r="AC104" s="71"/>
    </row>
    <row r="105" spans="1:31" s="73" customFormat="1" ht="12" customHeight="1">
      <c r="A105" s="191">
        <v>67</v>
      </c>
      <c r="B105" s="191">
        <v>7</v>
      </c>
      <c r="C105" s="192" t="s">
        <v>240</v>
      </c>
      <c r="D105" s="193" t="s">
        <v>233</v>
      </c>
      <c r="E105" s="191" t="s">
        <v>220</v>
      </c>
      <c r="F105" s="199">
        <v>120</v>
      </c>
      <c r="G105" s="195">
        <v>88200</v>
      </c>
      <c r="H105" s="196">
        <f t="shared" si="12"/>
        <v>10584000</v>
      </c>
      <c r="I105" s="43">
        <v>120</v>
      </c>
      <c r="J105" s="44">
        <v>95000</v>
      </c>
      <c r="K105" s="32">
        <f t="shared" si="14"/>
        <v>11400000</v>
      </c>
      <c r="L105" s="30">
        <f t="shared" si="13"/>
        <v>6800</v>
      </c>
      <c r="M105" s="38" t="s">
        <v>234</v>
      </c>
      <c r="N105" s="197" t="s">
        <v>241</v>
      </c>
      <c r="O105" s="198"/>
      <c r="P105" s="85" t="s">
        <v>50</v>
      </c>
      <c r="Q105" s="22"/>
      <c r="R105" s="1024"/>
      <c r="S105" s="75"/>
      <c r="T105" s="71"/>
      <c r="U105" s="71"/>
      <c r="V105" s="71"/>
      <c r="W105" s="71"/>
      <c r="X105" s="71"/>
      <c r="Y105" s="71"/>
      <c r="Z105" s="71"/>
      <c r="AA105" s="71"/>
      <c r="AB105" s="71"/>
      <c r="AC105" s="71"/>
    </row>
    <row r="106" spans="1:31" s="73" customFormat="1" ht="12" customHeight="1">
      <c r="A106" s="191">
        <v>68</v>
      </c>
      <c r="B106" s="191">
        <v>8</v>
      </c>
      <c r="C106" s="192" t="s">
        <v>242</v>
      </c>
      <c r="D106" s="193" t="s">
        <v>233</v>
      </c>
      <c r="E106" s="191" t="s">
        <v>220</v>
      </c>
      <c r="F106" s="199">
        <v>120</v>
      </c>
      <c r="G106" s="195">
        <f>93000*1.05</f>
        <v>97650</v>
      </c>
      <c r="H106" s="196">
        <f t="shared" si="12"/>
        <v>11718000</v>
      </c>
      <c r="I106" s="43">
        <v>120</v>
      </c>
      <c r="J106" s="44">
        <v>105000</v>
      </c>
      <c r="K106" s="32">
        <f t="shared" si="14"/>
        <v>12600000</v>
      </c>
      <c r="L106" s="30">
        <f t="shared" si="13"/>
        <v>7350</v>
      </c>
      <c r="M106" s="38" t="s">
        <v>234</v>
      </c>
      <c r="N106" s="197" t="s">
        <v>243</v>
      </c>
      <c r="O106" s="198"/>
      <c r="P106" s="85" t="s">
        <v>50</v>
      </c>
      <c r="Q106" s="22"/>
      <c r="R106" s="1024"/>
      <c r="S106" s="75"/>
      <c r="T106" s="71"/>
      <c r="U106" s="71"/>
      <c r="V106" s="71"/>
      <c r="W106" s="71"/>
      <c r="X106" s="71"/>
      <c r="Y106" s="71"/>
      <c r="Z106" s="71"/>
      <c r="AA106" s="71"/>
      <c r="AB106" s="71"/>
      <c r="AC106" s="71"/>
    </row>
    <row r="107" spans="1:31" s="73" customFormat="1" ht="12" customHeight="1">
      <c r="A107" s="191">
        <v>69</v>
      </c>
      <c r="B107" s="191">
        <v>9</v>
      </c>
      <c r="C107" s="192" t="s">
        <v>244</v>
      </c>
      <c r="D107" s="193" t="s">
        <v>233</v>
      </c>
      <c r="E107" s="191" t="s">
        <v>220</v>
      </c>
      <c r="F107" s="199">
        <v>120</v>
      </c>
      <c r="G107" s="195">
        <f>114000*1.05</f>
        <v>119700</v>
      </c>
      <c r="H107" s="196">
        <f t="shared" si="12"/>
        <v>14364000</v>
      </c>
      <c r="I107" s="43">
        <v>120</v>
      </c>
      <c r="J107" s="44">
        <v>125000</v>
      </c>
      <c r="K107" s="32">
        <f t="shared" si="14"/>
        <v>15000000</v>
      </c>
      <c r="L107" s="30">
        <f t="shared" si="13"/>
        <v>5300</v>
      </c>
      <c r="M107" s="38" t="s">
        <v>234</v>
      </c>
      <c r="N107" s="197" t="s">
        <v>245</v>
      </c>
      <c r="O107" s="198"/>
      <c r="P107" s="85" t="s">
        <v>50</v>
      </c>
      <c r="Q107" s="22"/>
      <c r="R107" s="1024"/>
      <c r="S107" s="75"/>
      <c r="T107" s="71"/>
      <c r="U107" s="71"/>
      <c r="V107" s="71"/>
      <c r="W107" s="71"/>
      <c r="X107" s="71"/>
      <c r="Y107" s="71"/>
      <c r="Z107" s="71"/>
      <c r="AA107" s="71"/>
      <c r="AB107" s="71"/>
      <c r="AC107" s="71"/>
    </row>
    <row r="108" spans="1:31" s="73" customFormat="1" ht="12" customHeight="1">
      <c r="A108" s="191">
        <v>70</v>
      </c>
      <c r="B108" s="191">
        <v>10</v>
      </c>
      <c r="C108" s="192" t="s">
        <v>246</v>
      </c>
      <c r="D108" s="193" t="s">
        <v>233</v>
      </c>
      <c r="E108" s="191" t="s">
        <v>247</v>
      </c>
      <c r="F108" s="199">
        <v>120</v>
      </c>
      <c r="G108" s="195">
        <f>103000*1.05</f>
        <v>108150</v>
      </c>
      <c r="H108" s="196">
        <f t="shared" si="12"/>
        <v>12978000</v>
      </c>
      <c r="I108" s="43">
        <v>120</v>
      </c>
      <c r="J108" s="44">
        <v>120000</v>
      </c>
      <c r="K108" s="32">
        <f t="shared" si="14"/>
        <v>14400000</v>
      </c>
      <c r="L108" s="30">
        <f t="shared" si="13"/>
        <v>11850</v>
      </c>
      <c r="M108" s="38" t="s">
        <v>234</v>
      </c>
      <c r="N108" s="197" t="s">
        <v>248</v>
      </c>
      <c r="O108" s="198"/>
      <c r="P108" s="85" t="s">
        <v>50</v>
      </c>
      <c r="Q108" s="22"/>
      <c r="R108" s="1024"/>
      <c r="S108" s="75"/>
      <c r="T108" s="71"/>
      <c r="U108" s="71"/>
      <c r="V108" s="71"/>
      <c r="W108" s="71"/>
      <c r="X108" s="71"/>
      <c r="Y108" s="71"/>
      <c r="Z108" s="71"/>
      <c r="AA108" s="71"/>
      <c r="AB108" s="71"/>
      <c r="AC108" s="71"/>
    </row>
    <row r="109" spans="1:31" s="73" customFormat="1" ht="12" customHeight="1">
      <c r="A109" s="191">
        <v>71</v>
      </c>
      <c r="B109" s="191">
        <v>11</v>
      </c>
      <c r="C109" s="192" t="s">
        <v>249</v>
      </c>
      <c r="D109" s="193" t="s">
        <v>250</v>
      </c>
      <c r="E109" s="191" t="s">
        <v>220</v>
      </c>
      <c r="F109" s="199">
        <v>72</v>
      </c>
      <c r="G109" s="195">
        <f>188000*1.05</f>
        <v>197400</v>
      </c>
      <c r="H109" s="196">
        <f t="shared" si="12"/>
        <v>14212800</v>
      </c>
      <c r="I109" s="43">
        <v>72</v>
      </c>
      <c r="J109" s="44">
        <v>220000</v>
      </c>
      <c r="K109" s="32">
        <f t="shared" si="14"/>
        <v>15840000</v>
      </c>
      <c r="L109" s="30">
        <f t="shared" si="13"/>
        <v>22600</v>
      </c>
      <c r="M109" s="38" t="s">
        <v>234</v>
      </c>
      <c r="N109" s="197" t="s">
        <v>251</v>
      </c>
      <c r="O109" s="198"/>
      <c r="P109" s="85" t="s">
        <v>50</v>
      </c>
      <c r="Q109" s="22"/>
      <c r="R109" s="1024"/>
      <c r="S109" s="75"/>
      <c r="T109" s="71"/>
      <c r="U109" s="71"/>
      <c r="V109" s="71"/>
      <c r="W109" s="71"/>
      <c r="X109" s="71"/>
      <c r="Y109" s="71"/>
      <c r="Z109" s="71"/>
      <c r="AA109" s="71"/>
      <c r="AB109" s="71"/>
      <c r="AC109" s="71"/>
    </row>
    <row r="110" spans="1:31" s="73" customFormat="1" ht="12" customHeight="1">
      <c r="A110" s="191">
        <v>72</v>
      </c>
      <c r="B110" s="191">
        <v>12</v>
      </c>
      <c r="C110" s="192" t="s">
        <v>252</v>
      </c>
      <c r="D110" s="193" t="s">
        <v>233</v>
      </c>
      <c r="E110" s="191" t="s">
        <v>220</v>
      </c>
      <c r="F110" s="199">
        <v>36</v>
      </c>
      <c r="G110" s="195">
        <f>118000*1.05</f>
        <v>123900</v>
      </c>
      <c r="H110" s="196">
        <f t="shared" si="12"/>
        <v>4460400</v>
      </c>
      <c r="I110" s="43">
        <v>36</v>
      </c>
      <c r="J110" s="44">
        <v>250000</v>
      </c>
      <c r="K110" s="32">
        <f t="shared" si="14"/>
        <v>9000000</v>
      </c>
      <c r="L110" s="30">
        <f t="shared" si="13"/>
        <v>126100</v>
      </c>
      <c r="M110" s="38" t="s">
        <v>234</v>
      </c>
      <c r="N110" s="197" t="s">
        <v>253</v>
      </c>
      <c r="O110" s="198"/>
      <c r="P110" s="85" t="s">
        <v>50</v>
      </c>
      <c r="Q110" s="22"/>
      <c r="R110" s="1024"/>
      <c r="S110" s="75"/>
      <c r="T110" s="71"/>
      <c r="U110" s="71"/>
      <c r="V110" s="71"/>
      <c r="W110" s="71"/>
      <c r="X110" s="71"/>
      <c r="Y110" s="71"/>
      <c r="Z110" s="71"/>
      <c r="AA110" s="71"/>
      <c r="AB110" s="71"/>
      <c r="AC110" s="71"/>
    </row>
    <row r="111" spans="1:31" s="73" customFormat="1" ht="12" customHeight="1">
      <c r="A111" s="191">
        <v>73</v>
      </c>
      <c r="B111" s="191">
        <v>13</v>
      </c>
      <c r="C111" s="200" t="s">
        <v>254</v>
      </c>
      <c r="D111" s="193" t="s">
        <v>233</v>
      </c>
      <c r="E111" s="191" t="s">
        <v>247</v>
      </c>
      <c r="F111" s="199">
        <v>60</v>
      </c>
      <c r="G111" s="195">
        <f>204000*1.05</f>
        <v>214200</v>
      </c>
      <c r="H111" s="196">
        <f t="shared" si="12"/>
        <v>12852000</v>
      </c>
      <c r="I111" s="43">
        <v>60</v>
      </c>
      <c r="J111" s="44">
        <v>238000</v>
      </c>
      <c r="K111" s="32">
        <f t="shared" si="14"/>
        <v>14280000</v>
      </c>
      <c r="L111" s="30">
        <f t="shared" si="13"/>
        <v>23800</v>
      </c>
      <c r="M111" s="38" t="s">
        <v>255</v>
      </c>
      <c r="N111" s="197" t="s">
        <v>256</v>
      </c>
      <c r="O111" s="198"/>
      <c r="P111" s="85" t="s">
        <v>50</v>
      </c>
      <c r="Q111" s="22"/>
      <c r="R111" s="1024"/>
      <c r="S111" s="75"/>
      <c r="T111" s="71"/>
      <c r="U111" s="71"/>
      <c r="V111" s="71"/>
      <c r="W111" s="71"/>
      <c r="X111" s="71"/>
      <c r="Y111" s="71"/>
      <c r="Z111" s="71"/>
      <c r="AA111" s="71"/>
      <c r="AB111" s="71"/>
      <c r="AC111" s="71"/>
    </row>
    <row r="112" spans="1:31" s="73" customFormat="1" ht="12" customHeight="1">
      <c r="A112" s="191">
        <v>74</v>
      </c>
      <c r="B112" s="191">
        <v>14</v>
      </c>
      <c r="C112" s="192" t="s">
        <v>257</v>
      </c>
      <c r="D112" s="193" t="s">
        <v>233</v>
      </c>
      <c r="E112" s="191" t="s">
        <v>247</v>
      </c>
      <c r="F112" s="199">
        <v>48</v>
      </c>
      <c r="G112" s="195">
        <f>410000*1.05</f>
        <v>430500</v>
      </c>
      <c r="H112" s="196">
        <f t="shared" si="12"/>
        <v>20664000</v>
      </c>
      <c r="I112" s="43">
        <v>48</v>
      </c>
      <c r="J112" s="44">
        <v>460000</v>
      </c>
      <c r="K112" s="32">
        <f t="shared" si="14"/>
        <v>22080000</v>
      </c>
      <c r="L112" s="30">
        <f t="shared" si="13"/>
        <v>29500</v>
      </c>
      <c r="M112" s="38" t="s">
        <v>234</v>
      </c>
      <c r="N112" s="197" t="s">
        <v>258</v>
      </c>
      <c r="O112" s="198"/>
      <c r="P112" s="85" t="s">
        <v>50</v>
      </c>
      <c r="Q112" s="22"/>
      <c r="R112" s="1024"/>
      <c r="S112" s="75"/>
      <c r="T112" s="71"/>
      <c r="U112" s="71"/>
      <c r="V112" s="71"/>
      <c r="W112" s="71"/>
      <c r="X112" s="71"/>
      <c r="Y112" s="71"/>
      <c r="Z112" s="71"/>
      <c r="AA112" s="71"/>
      <c r="AB112" s="71"/>
      <c r="AC112" s="71"/>
    </row>
    <row r="113" spans="1:29" s="73" customFormat="1" ht="12" customHeight="1">
      <c r="A113" s="191">
        <v>75</v>
      </c>
      <c r="B113" s="191">
        <v>15</v>
      </c>
      <c r="C113" s="192" t="s">
        <v>259</v>
      </c>
      <c r="D113" s="193" t="s">
        <v>260</v>
      </c>
      <c r="E113" s="191" t="s">
        <v>225</v>
      </c>
      <c r="F113" s="199">
        <v>800</v>
      </c>
      <c r="G113" s="195">
        <v>5250</v>
      </c>
      <c r="H113" s="196">
        <f t="shared" si="12"/>
        <v>4200000</v>
      </c>
      <c r="I113" s="43">
        <v>800</v>
      </c>
      <c r="J113" s="44">
        <v>6300</v>
      </c>
      <c r="K113" s="32">
        <f t="shared" si="14"/>
        <v>5040000</v>
      </c>
      <c r="L113" s="30">
        <f t="shared" si="13"/>
        <v>1050</v>
      </c>
      <c r="M113" s="38" t="s">
        <v>261</v>
      </c>
      <c r="N113" s="197" t="s">
        <v>262</v>
      </c>
      <c r="O113" s="198"/>
      <c r="P113" s="85" t="s">
        <v>50</v>
      </c>
      <c r="Q113" s="22"/>
      <c r="R113" s="1024"/>
      <c r="S113" s="75"/>
      <c r="T113" s="71"/>
      <c r="U113" s="71"/>
      <c r="V113" s="71"/>
      <c r="W113" s="71"/>
      <c r="X113" s="71"/>
      <c r="Y113" s="71"/>
      <c r="Z113" s="71"/>
      <c r="AA113" s="71"/>
      <c r="AB113" s="71"/>
      <c r="AC113" s="71"/>
    </row>
    <row r="114" spans="1:29" s="73" customFormat="1" ht="12" customHeight="1">
      <c r="A114" s="191">
        <v>76</v>
      </c>
      <c r="B114" s="191">
        <v>16</v>
      </c>
      <c r="C114" s="192" t="s">
        <v>263</v>
      </c>
      <c r="D114" s="193" t="s">
        <v>233</v>
      </c>
      <c r="E114" s="191" t="s">
        <v>247</v>
      </c>
      <c r="F114" s="199">
        <v>120</v>
      </c>
      <c r="G114" s="195">
        <f>220000*1.05</f>
        <v>231000</v>
      </c>
      <c r="H114" s="196">
        <f t="shared" si="12"/>
        <v>27720000</v>
      </c>
      <c r="I114" s="43">
        <v>120</v>
      </c>
      <c r="J114" s="44">
        <v>255000</v>
      </c>
      <c r="K114" s="32">
        <f t="shared" si="14"/>
        <v>30600000</v>
      </c>
      <c r="L114" s="30">
        <f t="shared" si="13"/>
        <v>24000</v>
      </c>
      <c r="M114" s="38" t="s">
        <v>234</v>
      </c>
      <c r="N114" s="197" t="s">
        <v>264</v>
      </c>
      <c r="O114" s="198"/>
      <c r="P114" s="85" t="s">
        <v>50</v>
      </c>
      <c r="Q114" s="22"/>
      <c r="R114" s="1024"/>
      <c r="S114" s="75"/>
      <c r="T114" s="71"/>
      <c r="U114" s="71"/>
      <c r="V114" s="71"/>
      <c r="W114" s="71"/>
      <c r="X114" s="71"/>
      <c r="Y114" s="71"/>
      <c r="Z114" s="71"/>
      <c r="AA114" s="71"/>
      <c r="AB114" s="71"/>
      <c r="AC114" s="71"/>
    </row>
    <row r="115" spans="1:29" s="73" customFormat="1" ht="12" customHeight="1">
      <c r="A115" s="191">
        <v>77</v>
      </c>
      <c r="B115" s="191">
        <v>17</v>
      </c>
      <c r="C115" s="192" t="s">
        <v>265</v>
      </c>
      <c r="D115" s="193" t="s">
        <v>233</v>
      </c>
      <c r="E115" s="191" t="s">
        <v>247</v>
      </c>
      <c r="F115" s="199">
        <v>120</v>
      </c>
      <c r="G115" s="195">
        <f>221000*1.05</f>
        <v>232050</v>
      </c>
      <c r="H115" s="196">
        <f t="shared" si="12"/>
        <v>27846000</v>
      </c>
      <c r="I115" s="43">
        <v>120</v>
      </c>
      <c r="J115" s="44">
        <v>258000</v>
      </c>
      <c r="K115" s="32">
        <f t="shared" si="14"/>
        <v>30960000</v>
      </c>
      <c r="L115" s="30">
        <f t="shared" si="13"/>
        <v>25950</v>
      </c>
      <c r="M115" s="38" t="s">
        <v>234</v>
      </c>
      <c r="N115" s="197" t="s">
        <v>266</v>
      </c>
      <c r="O115" s="198"/>
      <c r="P115" s="85" t="s">
        <v>50</v>
      </c>
      <c r="Q115" s="22"/>
      <c r="R115" s="1024"/>
      <c r="S115" s="75"/>
      <c r="T115" s="71"/>
      <c r="U115" s="71"/>
      <c r="V115" s="71"/>
      <c r="W115" s="71"/>
      <c r="X115" s="71"/>
      <c r="Y115" s="71"/>
      <c r="Z115" s="71"/>
      <c r="AA115" s="71"/>
      <c r="AB115" s="71"/>
      <c r="AC115" s="71"/>
    </row>
    <row r="116" spans="1:29" s="73" customFormat="1" ht="12" customHeight="1">
      <c r="A116" s="191">
        <v>78</v>
      </c>
      <c r="B116" s="191">
        <v>18</v>
      </c>
      <c r="C116" s="192" t="s">
        <v>267</v>
      </c>
      <c r="D116" s="193" t="s">
        <v>233</v>
      </c>
      <c r="E116" s="191" t="s">
        <v>247</v>
      </c>
      <c r="F116" s="199">
        <v>24</v>
      </c>
      <c r="G116" s="195">
        <f>245000*1.05</f>
        <v>257250</v>
      </c>
      <c r="H116" s="196">
        <f t="shared" si="12"/>
        <v>6174000</v>
      </c>
      <c r="I116" s="43">
        <v>24</v>
      </c>
      <c r="J116" s="44">
        <v>265000</v>
      </c>
      <c r="K116" s="32">
        <f t="shared" si="14"/>
        <v>6360000</v>
      </c>
      <c r="L116" s="30">
        <f t="shared" si="13"/>
        <v>7750</v>
      </c>
      <c r="M116" s="38" t="s">
        <v>234</v>
      </c>
      <c r="N116" s="197" t="s">
        <v>268</v>
      </c>
      <c r="O116" s="198"/>
      <c r="P116" s="85" t="s">
        <v>50</v>
      </c>
      <c r="Q116" s="22"/>
      <c r="R116" s="1024"/>
      <c r="S116" s="75"/>
      <c r="T116" s="71"/>
      <c r="U116" s="71"/>
      <c r="V116" s="71"/>
      <c r="W116" s="71"/>
      <c r="X116" s="71"/>
      <c r="Y116" s="71"/>
      <c r="Z116" s="71"/>
      <c r="AA116" s="71"/>
      <c r="AB116" s="71"/>
      <c r="AC116" s="71"/>
    </row>
    <row r="117" spans="1:29" s="73" customFormat="1" ht="12" customHeight="1">
      <c r="A117" s="191">
        <v>79</v>
      </c>
      <c r="B117" s="191">
        <v>19</v>
      </c>
      <c r="C117" s="192" t="s">
        <v>269</v>
      </c>
      <c r="D117" s="193" t="s">
        <v>233</v>
      </c>
      <c r="E117" s="191" t="s">
        <v>247</v>
      </c>
      <c r="F117" s="199">
        <v>24</v>
      </c>
      <c r="G117" s="195">
        <f>276000*1.05</f>
        <v>289800</v>
      </c>
      <c r="H117" s="196">
        <f t="shared" si="12"/>
        <v>6955200</v>
      </c>
      <c r="I117" s="43">
        <v>24</v>
      </c>
      <c r="J117" s="44">
        <v>304000</v>
      </c>
      <c r="K117" s="32">
        <f t="shared" si="14"/>
        <v>7296000</v>
      </c>
      <c r="L117" s="30">
        <f t="shared" si="13"/>
        <v>14200</v>
      </c>
      <c r="M117" s="38" t="s">
        <v>234</v>
      </c>
      <c r="N117" s="197" t="s">
        <v>270</v>
      </c>
      <c r="O117" s="198"/>
      <c r="P117" s="85" t="s">
        <v>50</v>
      </c>
      <c r="Q117" s="22"/>
      <c r="R117" s="1024"/>
      <c r="S117" s="75"/>
      <c r="T117" s="71"/>
      <c r="U117" s="71"/>
      <c r="V117" s="71"/>
      <c r="W117" s="71"/>
      <c r="X117" s="71"/>
      <c r="Y117" s="71"/>
      <c r="Z117" s="71"/>
      <c r="AA117" s="71"/>
      <c r="AB117" s="71"/>
      <c r="AC117" s="71"/>
    </row>
    <row r="118" spans="1:29" s="73" customFormat="1" ht="12" customHeight="1">
      <c r="A118" s="191">
        <v>80</v>
      </c>
      <c r="B118" s="191">
        <v>20</v>
      </c>
      <c r="C118" s="192" t="s">
        <v>271</v>
      </c>
      <c r="D118" s="193" t="s">
        <v>272</v>
      </c>
      <c r="E118" s="191" t="s">
        <v>47</v>
      </c>
      <c r="F118" s="199">
        <v>200</v>
      </c>
      <c r="G118" s="195">
        <f>41000*1.05</f>
        <v>43050</v>
      </c>
      <c r="H118" s="196">
        <f t="shared" si="12"/>
        <v>8610000</v>
      </c>
      <c r="I118" s="43">
        <v>200</v>
      </c>
      <c r="J118" s="44">
        <v>44000</v>
      </c>
      <c r="K118" s="32">
        <f t="shared" si="14"/>
        <v>8800000</v>
      </c>
      <c r="L118" s="30">
        <f t="shared" si="13"/>
        <v>950</v>
      </c>
      <c r="M118" s="38" t="s">
        <v>234</v>
      </c>
      <c r="N118" s="197" t="s">
        <v>273</v>
      </c>
      <c r="O118" s="198"/>
      <c r="P118" s="85" t="s">
        <v>50</v>
      </c>
      <c r="Q118" s="22"/>
      <c r="R118" s="1024"/>
      <c r="S118" s="75"/>
      <c r="T118" s="71"/>
      <c r="U118" s="71"/>
      <c r="V118" s="71"/>
      <c r="W118" s="71"/>
      <c r="X118" s="71"/>
      <c r="Y118" s="71"/>
      <c r="Z118" s="71"/>
      <c r="AA118" s="71"/>
      <c r="AB118" s="71"/>
      <c r="AC118" s="71"/>
    </row>
    <row r="119" spans="1:29" s="73" customFormat="1" ht="12" customHeight="1">
      <c r="A119" s="191">
        <v>81</v>
      </c>
      <c r="B119" s="191">
        <v>21</v>
      </c>
      <c r="C119" s="192" t="s">
        <v>274</v>
      </c>
      <c r="D119" s="193" t="s">
        <v>275</v>
      </c>
      <c r="E119" s="191" t="s">
        <v>276</v>
      </c>
      <c r="F119" s="199">
        <v>792</v>
      </c>
      <c r="G119" s="195">
        <f>37400*1.05</f>
        <v>39270</v>
      </c>
      <c r="H119" s="196">
        <f t="shared" si="12"/>
        <v>31101840</v>
      </c>
      <c r="I119" s="43">
        <v>792</v>
      </c>
      <c r="J119" s="44">
        <v>48000</v>
      </c>
      <c r="K119" s="32">
        <f t="shared" si="14"/>
        <v>38016000</v>
      </c>
      <c r="L119" s="30">
        <f t="shared" si="13"/>
        <v>8730</v>
      </c>
      <c r="M119" s="38" t="s">
        <v>234</v>
      </c>
      <c r="N119" s="197" t="s">
        <v>277</v>
      </c>
      <c r="O119" s="198"/>
      <c r="P119" s="85" t="s">
        <v>50</v>
      </c>
      <c r="Q119" s="22"/>
      <c r="R119" s="1024"/>
      <c r="S119" s="75"/>
      <c r="T119" s="71"/>
      <c r="U119" s="71"/>
      <c r="V119" s="71"/>
      <c r="W119" s="71"/>
      <c r="X119" s="71"/>
      <c r="Y119" s="71"/>
      <c r="Z119" s="71"/>
      <c r="AA119" s="71"/>
      <c r="AB119" s="71"/>
      <c r="AC119" s="71"/>
    </row>
    <row r="120" spans="1:29" s="73" customFormat="1" ht="12" customHeight="1">
      <c r="A120" s="191">
        <v>82</v>
      </c>
      <c r="B120" s="191">
        <v>22</v>
      </c>
      <c r="C120" s="192" t="s">
        <v>278</v>
      </c>
      <c r="D120" s="193" t="s">
        <v>275</v>
      </c>
      <c r="E120" s="191" t="s">
        <v>276</v>
      </c>
      <c r="F120" s="199">
        <v>60</v>
      </c>
      <c r="G120" s="195">
        <f>470000*1.05</f>
        <v>493500</v>
      </c>
      <c r="H120" s="196">
        <f t="shared" si="12"/>
        <v>29610000</v>
      </c>
      <c r="I120" s="43">
        <v>60</v>
      </c>
      <c r="J120" s="44">
        <v>525000</v>
      </c>
      <c r="K120" s="32">
        <f t="shared" si="14"/>
        <v>31500000</v>
      </c>
      <c r="L120" s="30">
        <f t="shared" si="13"/>
        <v>31500</v>
      </c>
      <c r="M120" s="38" t="s">
        <v>234</v>
      </c>
      <c r="N120" s="197" t="s">
        <v>279</v>
      </c>
      <c r="O120" s="198"/>
      <c r="P120" s="85" t="s">
        <v>50</v>
      </c>
      <c r="Q120" s="22"/>
      <c r="R120" s="1024"/>
      <c r="S120" s="75"/>
      <c r="T120" s="71"/>
      <c r="U120" s="71"/>
      <c r="V120" s="71"/>
      <c r="W120" s="71"/>
      <c r="X120" s="71"/>
      <c r="Y120" s="71"/>
      <c r="Z120" s="71"/>
      <c r="AA120" s="71"/>
      <c r="AB120" s="71"/>
      <c r="AC120" s="71"/>
    </row>
    <row r="121" spans="1:29" s="73" customFormat="1" ht="12" customHeight="1">
      <c r="A121" s="191">
        <v>83</v>
      </c>
      <c r="B121" s="191">
        <v>23</v>
      </c>
      <c r="C121" s="192" t="s">
        <v>280</v>
      </c>
      <c r="D121" s="193" t="s">
        <v>281</v>
      </c>
      <c r="E121" s="191" t="s">
        <v>276</v>
      </c>
      <c r="F121" s="199">
        <v>60</v>
      </c>
      <c r="G121" s="195">
        <v>189000</v>
      </c>
      <c r="H121" s="196">
        <f t="shared" si="12"/>
        <v>11340000</v>
      </c>
      <c r="I121" s="43">
        <v>60</v>
      </c>
      <c r="J121" s="44">
        <v>208000</v>
      </c>
      <c r="K121" s="32">
        <f t="shared" si="14"/>
        <v>12480000</v>
      </c>
      <c r="L121" s="30">
        <f t="shared" si="13"/>
        <v>19000</v>
      </c>
      <c r="M121" s="38" t="s">
        <v>234</v>
      </c>
      <c r="N121" s="197" t="s">
        <v>282</v>
      </c>
      <c r="O121" s="198"/>
      <c r="P121" s="85" t="s">
        <v>50</v>
      </c>
      <c r="Q121" s="22"/>
      <c r="R121" s="1024"/>
      <c r="S121" s="75"/>
      <c r="T121" s="71"/>
      <c r="U121" s="71"/>
      <c r="V121" s="71"/>
      <c r="W121" s="71"/>
      <c r="X121" s="71"/>
      <c r="Y121" s="71"/>
      <c r="Z121" s="71"/>
      <c r="AA121" s="71"/>
      <c r="AB121" s="71"/>
      <c r="AC121" s="71"/>
    </row>
    <row r="122" spans="1:29" s="73" customFormat="1" ht="12" customHeight="1">
      <c r="A122" s="191">
        <v>84</v>
      </c>
      <c r="B122" s="191">
        <v>24</v>
      </c>
      <c r="C122" s="200" t="s">
        <v>283</v>
      </c>
      <c r="D122" s="193" t="s">
        <v>284</v>
      </c>
      <c r="E122" s="191" t="s">
        <v>220</v>
      </c>
      <c r="F122" s="199">
        <v>600</v>
      </c>
      <c r="G122" s="195">
        <f>134200*1.05</f>
        <v>140910</v>
      </c>
      <c r="H122" s="196">
        <f t="shared" si="12"/>
        <v>84546000</v>
      </c>
      <c r="I122" s="43">
        <v>600</v>
      </c>
      <c r="J122" s="44">
        <v>170000</v>
      </c>
      <c r="K122" s="32">
        <f t="shared" si="14"/>
        <v>102000000</v>
      </c>
      <c r="L122" s="30">
        <f t="shared" si="13"/>
        <v>29090</v>
      </c>
      <c r="M122" s="38" t="s">
        <v>234</v>
      </c>
      <c r="N122" s="197" t="s">
        <v>285</v>
      </c>
      <c r="O122" s="198"/>
      <c r="P122" s="85" t="s">
        <v>50</v>
      </c>
      <c r="Q122" s="22"/>
      <c r="R122" s="1024"/>
      <c r="S122" s="75"/>
      <c r="T122" s="71"/>
      <c r="U122" s="71"/>
      <c r="V122" s="71"/>
      <c r="W122" s="71"/>
      <c r="X122" s="71"/>
      <c r="Y122" s="71"/>
      <c r="Z122" s="71"/>
      <c r="AA122" s="71"/>
      <c r="AB122" s="71"/>
      <c r="AC122" s="71"/>
    </row>
    <row r="123" spans="1:29" s="73" customFormat="1" ht="12" customHeight="1">
      <c r="A123" s="191">
        <v>85</v>
      </c>
      <c r="B123" s="191">
        <v>25</v>
      </c>
      <c r="C123" s="200" t="s">
        <v>286</v>
      </c>
      <c r="D123" s="193" t="s">
        <v>284</v>
      </c>
      <c r="E123" s="191" t="s">
        <v>220</v>
      </c>
      <c r="F123" s="199">
        <v>600</v>
      </c>
      <c r="G123" s="195">
        <f>134200*1.05</f>
        <v>140910</v>
      </c>
      <c r="H123" s="196">
        <f t="shared" si="12"/>
        <v>84546000</v>
      </c>
      <c r="I123" s="43">
        <v>600</v>
      </c>
      <c r="J123" s="44">
        <v>174000</v>
      </c>
      <c r="K123" s="32">
        <f t="shared" si="14"/>
        <v>104400000</v>
      </c>
      <c r="L123" s="30">
        <f t="shared" si="13"/>
        <v>33090</v>
      </c>
      <c r="M123" s="38" t="s">
        <v>234</v>
      </c>
      <c r="N123" s="197" t="s">
        <v>287</v>
      </c>
      <c r="O123" s="198"/>
      <c r="P123" s="85" t="s">
        <v>50</v>
      </c>
      <c r="Q123" s="22"/>
      <c r="R123" s="1024"/>
      <c r="S123" s="75"/>
      <c r="T123" s="71"/>
      <c r="U123" s="71"/>
      <c r="V123" s="71"/>
      <c r="W123" s="71"/>
      <c r="X123" s="71"/>
      <c r="Y123" s="71"/>
      <c r="Z123" s="71"/>
      <c r="AA123" s="71"/>
      <c r="AB123" s="71"/>
      <c r="AC123" s="71"/>
    </row>
    <row r="124" spans="1:29" s="73" customFormat="1" ht="12" customHeight="1">
      <c r="A124" s="191">
        <v>86</v>
      </c>
      <c r="B124" s="191">
        <v>26</v>
      </c>
      <c r="C124" s="192" t="s">
        <v>288</v>
      </c>
      <c r="D124" s="193" t="s">
        <v>289</v>
      </c>
      <c r="E124" s="191" t="s">
        <v>220</v>
      </c>
      <c r="F124" s="199">
        <v>96</v>
      </c>
      <c r="G124" s="195">
        <v>149100</v>
      </c>
      <c r="H124" s="196">
        <f t="shared" si="12"/>
        <v>14313600</v>
      </c>
      <c r="I124" s="43">
        <v>96</v>
      </c>
      <c r="J124" s="44">
        <v>163000</v>
      </c>
      <c r="K124" s="32">
        <f t="shared" si="14"/>
        <v>15648000</v>
      </c>
      <c r="L124" s="30">
        <f t="shared" si="13"/>
        <v>13900</v>
      </c>
      <c r="M124" s="38" t="s">
        <v>234</v>
      </c>
      <c r="N124" s="197" t="s">
        <v>290</v>
      </c>
      <c r="O124" s="198"/>
      <c r="P124" s="85" t="s">
        <v>50</v>
      </c>
      <c r="Q124" s="22"/>
      <c r="R124" s="1024"/>
      <c r="S124" s="75"/>
      <c r="T124" s="71"/>
      <c r="U124" s="71"/>
      <c r="V124" s="71"/>
      <c r="W124" s="71"/>
      <c r="X124" s="71"/>
      <c r="Y124" s="71"/>
      <c r="Z124" s="71"/>
      <c r="AA124" s="71"/>
      <c r="AB124" s="71"/>
      <c r="AC124" s="71"/>
    </row>
    <row r="125" spans="1:29" s="73" customFormat="1" ht="12" customHeight="1">
      <c r="A125" s="191">
        <v>87</v>
      </c>
      <c r="B125" s="191">
        <v>27</v>
      </c>
      <c r="C125" s="192" t="s">
        <v>291</v>
      </c>
      <c r="D125" s="193" t="s">
        <v>289</v>
      </c>
      <c r="E125" s="191" t="s">
        <v>220</v>
      </c>
      <c r="F125" s="199">
        <v>48</v>
      </c>
      <c r="G125" s="195">
        <v>165900</v>
      </c>
      <c r="H125" s="196">
        <f t="shared" si="12"/>
        <v>7963200</v>
      </c>
      <c r="I125" s="43">
        <v>48</v>
      </c>
      <c r="J125" s="44">
        <v>185000</v>
      </c>
      <c r="K125" s="32">
        <f t="shared" si="14"/>
        <v>8880000</v>
      </c>
      <c r="L125" s="30">
        <f t="shared" si="13"/>
        <v>19100</v>
      </c>
      <c r="M125" s="38" t="s">
        <v>234</v>
      </c>
      <c r="N125" s="197" t="s">
        <v>292</v>
      </c>
      <c r="O125" s="198"/>
      <c r="P125" s="85" t="s">
        <v>50</v>
      </c>
      <c r="Q125" s="22"/>
      <c r="R125" s="1024"/>
      <c r="S125" s="75"/>
      <c r="T125" s="71"/>
      <c r="U125" s="71"/>
      <c r="V125" s="71"/>
      <c r="W125" s="71"/>
      <c r="X125" s="71"/>
      <c r="Y125" s="71"/>
      <c r="Z125" s="71"/>
      <c r="AA125" s="71"/>
      <c r="AB125" s="71"/>
      <c r="AC125" s="71"/>
    </row>
    <row r="126" spans="1:29" s="73" customFormat="1" ht="12" customHeight="1">
      <c r="A126" s="191">
        <v>88</v>
      </c>
      <c r="B126" s="191">
        <v>28</v>
      </c>
      <c r="C126" s="192" t="s">
        <v>293</v>
      </c>
      <c r="D126" s="193" t="s">
        <v>233</v>
      </c>
      <c r="E126" s="191" t="s">
        <v>220</v>
      </c>
      <c r="F126" s="199">
        <v>12</v>
      </c>
      <c r="G126" s="195">
        <f>170000*1.05</f>
        <v>178500</v>
      </c>
      <c r="H126" s="196">
        <f t="shared" si="12"/>
        <v>2142000</v>
      </c>
      <c r="I126" s="43">
        <v>12</v>
      </c>
      <c r="J126" s="44">
        <v>198000</v>
      </c>
      <c r="K126" s="32">
        <f t="shared" si="14"/>
        <v>2376000</v>
      </c>
      <c r="L126" s="30">
        <f t="shared" si="13"/>
        <v>19500</v>
      </c>
      <c r="M126" s="38" t="s">
        <v>234</v>
      </c>
      <c r="N126" s="197" t="s">
        <v>294</v>
      </c>
      <c r="O126" s="198"/>
      <c r="P126" s="85" t="s">
        <v>50</v>
      </c>
      <c r="Q126" s="22"/>
      <c r="R126" s="1024"/>
      <c r="S126" s="75"/>
      <c r="T126" s="71"/>
      <c r="U126" s="71"/>
      <c r="V126" s="71"/>
      <c r="W126" s="71"/>
      <c r="X126" s="71"/>
      <c r="Y126" s="71"/>
      <c r="Z126" s="71"/>
      <c r="AA126" s="71"/>
      <c r="AB126" s="71"/>
      <c r="AC126" s="71"/>
    </row>
    <row r="127" spans="1:29" s="73" customFormat="1" ht="12" customHeight="1">
      <c r="A127" s="191">
        <v>89</v>
      </c>
      <c r="B127" s="191">
        <v>29</v>
      </c>
      <c r="C127" s="192" t="s">
        <v>295</v>
      </c>
      <c r="D127" s="193" t="s">
        <v>233</v>
      </c>
      <c r="E127" s="191" t="s">
        <v>220</v>
      </c>
      <c r="F127" s="199">
        <v>96</v>
      </c>
      <c r="G127" s="195">
        <f>180000*1.05</f>
        <v>189000</v>
      </c>
      <c r="H127" s="196">
        <f t="shared" si="12"/>
        <v>18144000</v>
      </c>
      <c r="I127" s="43">
        <v>96</v>
      </c>
      <c r="J127" s="44">
        <v>210000</v>
      </c>
      <c r="K127" s="32">
        <f t="shared" si="14"/>
        <v>20160000</v>
      </c>
      <c r="L127" s="30">
        <f t="shared" si="13"/>
        <v>21000</v>
      </c>
      <c r="M127" s="38" t="s">
        <v>234</v>
      </c>
      <c r="N127" s="197" t="s">
        <v>296</v>
      </c>
      <c r="O127" s="198"/>
      <c r="P127" s="85" t="s">
        <v>50</v>
      </c>
      <c r="Q127" s="22"/>
      <c r="R127" s="1024"/>
      <c r="S127" s="75"/>
      <c r="T127" s="71"/>
      <c r="U127" s="71"/>
      <c r="V127" s="71"/>
      <c r="W127" s="71"/>
      <c r="X127" s="71"/>
      <c r="Y127" s="71"/>
      <c r="Z127" s="71"/>
      <c r="AA127" s="71"/>
      <c r="AB127" s="71"/>
      <c r="AC127" s="71"/>
    </row>
    <row r="128" spans="1:29" s="73" customFormat="1" ht="12" customHeight="1">
      <c r="A128" s="191">
        <v>90</v>
      </c>
      <c r="B128" s="191">
        <v>30</v>
      </c>
      <c r="C128" s="192" t="s">
        <v>297</v>
      </c>
      <c r="D128" s="193" t="s">
        <v>233</v>
      </c>
      <c r="E128" s="191" t="s">
        <v>220</v>
      </c>
      <c r="F128" s="199">
        <v>96</v>
      </c>
      <c r="G128" s="195">
        <f>179000*1.05</f>
        <v>187950</v>
      </c>
      <c r="H128" s="196">
        <f t="shared" si="12"/>
        <v>18043200</v>
      </c>
      <c r="I128" s="43">
        <v>96</v>
      </c>
      <c r="J128" s="44">
        <v>218000</v>
      </c>
      <c r="K128" s="32">
        <f t="shared" si="14"/>
        <v>20928000</v>
      </c>
      <c r="L128" s="30">
        <f t="shared" si="13"/>
        <v>30050</v>
      </c>
      <c r="M128" s="38" t="s">
        <v>234</v>
      </c>
      <c r="N128" s="197" t="s">
        <v>298</v>
      </c>
      <c r="O128" s="198"/>
      <c r="P128" s="85" t="s">
        <v>50</v>
      </c>
      <c r="Q128" s="22"/>
      <c r="R128" s="1024"/>
      <c r="S128" s="75"/>
      <c r="T128" s="71"/>
      <c r="U128" s="71"/>
      <c r="V128" s="71"/>
      <c r="W128" s="71"/>
      <c r="X128" s="71"/>
      <c r="Y128" s="71"/>
      <c r="Z128" s="71"/>
      <c r="AA128" s="71"/>
      <c r="AB128" s="71"/>
      <c r="AC128" s="71"/>
    </row>
    <row r="129" spans="1:29" s="73" customFormat="1" ht="12" customHeight="1">
      <c r="A129" s="191">
        <v>91</v>
      </c>
      <c r="B129" s="191">
        <v>31</v>
      </c>
      <c r="C129" s="192" t="s">
        <v>299</v>
      </c>
      <c r="D129" s="193" t="s">
        <v>233</v>
      </c>
      <c r="E129" s="191" t="s">
        <v>220</v>
      </c>
      <c r="F129" s="199">
        <v>800</v>
      </c>
      <c r="G129" s="195">
        <f>179000*1.05</f>
        <v>187950</v>
      </c>
      <c r="H129" s="196">
        <f t="shared" si="12"/>
        <v>150360000</v>
      </c>
      <c r="I129" s="43">
        <v>800</v>
      </c>
      <c r="J129" s="44">
        <v>214000</v>
      </c>
      <c r="K129" s="32">
        <f t="shared" si="14"/>
        <v>171200000</v>
      </c>
      <c r="L129" s="30">
        <f t="shared" si="13"/>
        <v>26050</v>
      </c>
      <c r="M129" s="38" t="s">
        <v>234</v>
      </c>
      <c r="N129" s="197" t="s">
        <v>300</v>
      </c>
      <c r="O129" s="198"/>
      <c r="P129" s="85" t="s">
        <v>50</v>
      </c>
      <c r="Q129" s="22"/>
      <c r="R129" s="1024"/>
      <c r="S129" s="75"/>
      <c r="T129" s="71"/>
      <c r="U129" s="71"/>
      <c r="V129" s="71"/>
      <c r="W129" s="71"/>
      <c r="X129" s="71"/>
      <c r="Y129" s="71"/>
      <c r="Z129" s="71"/>
      <c r="AA129" s="71"/>
      <c r="AB129" s="71"/>
      <c r="AC129" s="71"/>
    </row>
    <row r="130" spans="1:29" s="73" customFormat="1" ht="12" customHeight="1">
      <c r="A130" s="191">
        <v>92</v>
      </c>
      <c r="B130" s="191">
        <v>32</v>
      </c>
      <c r="C130" s="192" t="s">
        <v>301</v>
      </c>
      <c r="D130" s="193" t="s">
        <v>233</v>
      </c>
      <c r="E130" s="191" t="s">
        <v>220</v>
      </c>
      <c r="F130" s="194">
        <v>1500</v>
      </c>
      <c r="G130" s="195">
        <f>182800*1.05</f>
        <v>191940</v>
      </c>
      <c r="H130" s="196">
        <f t="shared" si="12"/>
        <v>287910000</v>
      </c>
      <c r="I130" s="43">
        <v>1500</v>
      </c>
      <c r="J130" s="44">
        <v>220000</v>
      </c>
      <c r="K130" s="32">
        <f t="shared" si="14"/>
        <v>330000000</v>
      </c>
      <c r="L130" s="30">
        <f t="shared" si="13"/>
        <v>28060</v>
      </c>
      <c r="M130" s="38" t="s">
        <v>234</v>
      </c>
      <c r="N130" s="197" t="s">
        <v>302</v>
      </c>
      <c r="O130" s="198"/>
      <c r="P130" s="85" t="s">
        <v>50</v>
      </c>
      <c r="Q130" s="22"/>
      <c r="R130" s="1024"/>
      <c r="S130" s="75"/>
      <c r="T130" s="71"/>
      <c r="U130" s="71"/>
      <c r="V130" s="71"/>
      <c r="W130" s="71"/>
      <c r="X130" s="71"/>
      <c r="Y130" s="71"/>
      <c r="Z130" s="71"/>
      <c r="AA130" s="71"/>
      <c r="AB130" s="71"/>
      <c r="AC130" s="71"/>
    </row>
    <row r="131" spans="1:29" s="73" customFormat="1" ht="12" customHeight="1">
      <c r="A131" s="191">
        <v>93</v>
      </c>
      <c r="B131" s="191">
        <v>33</v>
      </c>
      <c r="C131" s="192" t="s">
        <v>303</v>
      </c>
      <c r="D131" s="193" t="s">
        <v>233</v>
      </c>
      <c r="E131" s="191" t="s">
        <v>220</v>
      </c>
      <c r="F131" s="199">
        <v>800</v>
      </c>
      <c r="G131" s="195">
        <f>270000*1.05</f>
        <v>283500</v>
      </c>
      <c r="H131" s="196">
        <f t="shared" si="12"/>
        <v>226800000</v>
      </c>
      <c r="I131" s="43">
        <v>800</v>
      </c>
      <c r="J131" s="44">
        <v>305000</v>
      </c>
      <c r="K131" s="32">
        <f t="shared" si="14"/>
        <v>244000000</v>
      </c>
      <c r="L131" s="30">
        <f t="shared" si="13"/>
        <v>21500</v>
      </c>
      <c r="M131" s="38" t="s">
        <v>234</v>
      </c>
      <c r="N131" s="197" t="s">
        <v>304</v>
      </c>
      <c r="O131" s="198"/>
      <c r="P131" s="85" t="s">
        <v>50</v>
      </c>
      <c r="Q131" s="22"/>
      <c r="R131" s="1024"/>
      <c r="S131" s="75"/>
      <c r="T131" s="71"/>
      <c r="U131" s="71"/>
      <c r="V131" s="71"/>
      <c r="W131" s="71"/>
      <c r="X131" s="71"/>
      <c r="Y131" s="71"/>
      <c r="Z131" s="71"/>
      <c r="AA131" s="71"/>
      <c r="AB131" s="71"/>
      <c r="AC131" s="71"/>
    </row>
    <row r="132" spans="1:29" ht="12" customHeight="1">
      <c r="A132" s="191">
        <v>94</v>
      </c>
      <c r="B132" s="191">
        <v>34</v>
      </c>
      <c r="C132" s="192" t="s">
        <v>305</v>
      </c>
      <c r="D132" s="193" t="s">
        <v>306</v>
      </c>
      <c r="E132" s="191" t="s">
        <v>220</v>
      </c>
      <c r="F132" s="199">
        <v>36</v>
      </c>
      <c r="G132" s="195">
        <f>140000*1.05</f>
        <v>147000</v>
      </c>
      <c r="H132" s="196">
        <f t="shared" si="12"/>
        <v>5292000</v>
      </c>
      <c r="I132" s="43">
        <v>36</v>
      </c>
      <c r="J132" s="44">
        <v>165000</v>
      </c>
      <c r="K132" s="32">
        <f t="shared" si="14"/>
        <v>5940000</v>
      </c>
      <c r="L132" s="30">
        <f t="shared" si="13"/>
        <v>18000</v>
      </c>
      <c r="M132" s="38" t="s">
        <v>234</v>
      </c>
      <c r="N132" s="197" t="s">
        <v>307</v>
      </c>
      <c r="O132" s="198"/>
      <c r="P132" s="85" t="s">
        <v>50</v>
      </c>
      <c r="Q132" s="22"/>
    </row>
    <row r="133" spans="1:29" ht="12" customHeight="1">
      <c r="A133" s="191">
        <v>95</v>
      </c>
      <c r="B133" s="191">
        <v>35</v>
      </c>
      <c r="C133" s="192" t="s">
        <v>308</v>
      </c>
      <c r="D133" s="193" t="s">
        <v>306</v>
      </c>
      <c r="E133" s="191" t="s">
        <v>220</v>
      </c>
      <c r="F133" s="199">
        <v>36</v>
      </c>
      <c r="G133" s="195">
        <f>220000*1.05</f>
        <v>231000</v>
      </c>
      <c r="H133" s="196">
        <f t="shared" si="12"/>
        <v>8316000</v>
      </c>
      <c r="I133" s="43">
        <v>36</v>
      </c>
      <c r="J133" s="44">
        <v>255000</v>
      </c>
      <c r="K133" s="32">
        <f t="shared" si="14"/>
        <v>9180000</v>
      </c>
      <c r="L133" s="30">
        <f t="shared" si="13"/>
        <v>24000</v>
      </c>
      <c r="M133" s="38" t="s">
        <v>234</v>
      </c>
      <c r="N133" s="197" t="s">
        <v>309</v>
      </c>
      <c r="O133" s="198"/>
      <c r="P133" s="85" t="s">
        <v>50</v>
      </c>
      <c r="Q133" s="22"/>
    </row>
    <row r="134" spans="1:29" ht="12" customHeight="1">
      <c r="A134" s="191">
        <v>96</v>
      </c>
      <c r="B134" s="191">
        <v>36</v>
      </c>
      <c r="C134" s="200" t="s">
        <v>310</v>
      </c>
      <c r="D134" s="193" t="s">
        <v>311</v>
      </c>
      <c r="E134" s="191" t="s">
        <v>276</v>
      </c>
      <c r="F134" s="199">
        <v>10</v>
      </c>
      <c r="G134" s="195">
        <v>997500</v>
      </c>
      <c r="H134" s="196">
        <f t="shared" si="12"/>
        <v>9975000</v>
      </c>
      <c r="I134" s="99">
        <v>10</v>
      </c>
      <c r="J134" s="54">
        <v>1050000</v>
      </c>
      <c r="K134" s="32">
        <f t="shared" si="14"/>
        <v>10500000</v>
      </c>
      <c r="L134" s="30">
        <f t="shared" si="13"/>
        <v>52500</v>
      </c>
      <c r="M134" s="38" t="s">
        <v>234</v>
      </c>
      <c r="N134" s="197" t="s">
        <v>312</v>
      </c>
      <c r="O134" s="198"/>
      <c r="P134" s="85" t="s">
        <v>50</v>
      </c>
      <c r="Q134" s="22"/>
    </row>
    <row r="135" spans="1:29" ht="12" customHeight="1">
      <c r="A135" s="201">
        <v>97</v>
      </c>
      <c r="B135" s="202">
        <v>37</v>
      </c>
      <c r="C135" s="203" t="s">
        <v>313</v>
      </c>
      <c r="D135" s="202" t="s">
        <v>306</v>
      </c>
      <c r="E135" s="201" t="s">
        <v>220</v>
      </c>
      <c r="F135" s="194">
        <v>1000</v>
      </c>
      <c r="G135" s="195">
        <f>37000*1.05</f>
        <v>38850</v>
      </c>
      <c r="H135" s="196">
        <f t="shared" si="12"/>
        <v>38850000</v>
      </c>
      <c r="I135" s="43">
        <v>1000</v>
      </c>
      <c r="J135" s="204">
        <v>47000</v>
      </c>
      <c r="K135" s="205">
        <f t="shared" si="14"/>
        <v>47000000</v>
      </c>
      <c r="L135" s="30">
        <f t="shared" si="13"/>
        <v>8150</v>
      </c>
      <c r="M135" s="38" t="s">
        <v>314</v>
      </c>
      <c r="N135" s="193" t="s">
        <v>315</v>
      </c>
      <c r="O135" s="198"/>
      <c r="P135" s="85" t="s">
        <v>50</v>
      </c>
      <c r="Q135" s="22"/>
    </row>
    <row r="136" spans="1:29" ht="12" customHeight="1">
      <c r="A136" s="201">
        <v>98</v>
      </c>
      <c r="B136" s="202">
        <v>38</v>
      </c>
      <c r="C136" s="203" t="s">
        <v>316</v>
      </c>
      <c r="D136" s="202" t="s">
        <v>306</v>
      </c>
      <c r="E136" s="201" t="s">
        <v>220</v>
      </c>
      <c r="F136" s="194">
        <v>1000</v>
      </c>
      <c r="G136" s="195">
        <f>25400*1.05</f>
        <v>26670</v>
      </c>
      <c r="H136" s="196">
        <f t="shared" si="12"/>
        <v>26670000</v>
      </c>
      <c r="I136" s="43">
        <v>1000</v>
      </c>
      <c r="J136" s="204">
        <v>37000</v>
      </c>
      <c r="K136" s="205">
        <f t="shared" si="14"/>
        <v>37000000</v>
      </c>
      <c r="L136" s="30">
        <f t="shared" si="13"/>
        <v>10330</v>
      </c>
      <c r="M136" s="38" t="s">
        <v>314</v>
      </c>
      <c r="N136" s="193" t="s">
        <v>315</v>
      </c>
      <c r="O136" s="198"/>
      <c r="P136" s="85" t="s">
        <v>50</v>
      </c>
      <c r="Q136" s="22"/>
    </row>
    <row r="137" spans="1:29" ht="12" customHeight="1">
      <c r="A137" s="201">
        <v>99</v>
      </c>
      <c r="B137" s="202">
        <v>39</v>
      </c>
      <c r="C137" s="203" t="s">
        <v>317</v>
      </c>
      <c r="D137" s="202" t="s">
        <v>306</v>
      </c>
      <c r="E137" s="201" t="s">
        <v>220</v>
      </c>
      <c r="F137" s="194">
        <v>1000</v>
      </c>
      <c r="G137" s="195">
        <f>25400*1.05</f>
        <v>26670</v>
      </c>
      <c r="H137" s="196">
        <f t="shared" si="12"/>
        <v>26670000</v>
      </c>
      <c r="I137" s="43">
        <v>1000</v>
      </c>
      <c r="J137" s="204">
        <v>37000</v>
      </c>
      <c r="K137" s="205">
        <f t="shared" si="14"/>
        <v>37000000</v>
      </c>
      <c r="L137" s="30">
        <f t="shared" si="13"/>
        <v>10330</v>
      </c>
      <c r="M137" s="38" t="s">
        <v>314</v>
      </c>
      <c r="N137" s="193" t="s">
        <v>315</v>
      </c>
      <c r="O137" s="198"/>
      <c r="P137" s="85" t="s">
        <v>50</v>
      </c>
      <c r="Q137" s="22"/>
    </row>
    <row r="138" spans="1:29" ht="12" customHeight="1">
      <c r="A138" s="201">
        <v>100</v>
      </c>
      <c r="B138" s="202">
        <v>40</v>
      </c>
      <c r="C138" s="203" t="s">
        <v>318</v>
      </c>
      <c r="D138" s="202" t="s">
        <v>306</v>
      </c>
      <c r="E138" s="201" t="s">
        <v>220</v>
      </c>
      <c r="F138" s="194">
        <v>1000</v>
      </c>
      <c r="G138" s="195">
        <f>88800*1.05</f>
        <v>93240</v>
      </c>
      <c r="H138" s="196">
        <f t="shared" si="12"/>
        <v>93240000</v>
      </c>
      <c r="I138" s="43">
        <v>1000</v>
      </c>
      <c r="J138" s="204">
        <v>114000</v>
      </c>
      <c r="K138" s="205">
        <f t="shared" si="14"/>
        <v>114000000</v>
      </c>
      <c r="L138" s="30">
        <f t="shared" si="13"/>
        <v>20760</v>
      </c>
      <c r="M138" s="38" t="s">
        <v>314</v>
      </c>
      <c r="N138" s="193" t="s">
        <v>319</v>
      </c>
      <c r="O138" s="198"/>
      <c r="P138" s="85" t="s">
        <v>50</v>
      </c>
      <c r="Q138" s="22"/>
    </row>
    <row r="139" spans="1:29" ht="12" customHeight="1">
      <c r="A139" s="201">
        <v>101</v>
      </c>
      <c r="B139" s="202">
        <v>41</v>
      </c>
      <c r="C139" s="203" t="s">
        <v>320</v>
      </c>
      <c r="D139" s="202" t="s">
        <v>306</v>
      </c>
      <c r="E139" s="201" t="s">
        <v>220</v>
      </c>
      <c r="F139" s="194">
        <v>1600</v>
      </c>
      <c r="G139" s="195">
        <f>70400*1.05</f>
        <v>73920</v>
      </c>
      <c r="H139" s="196">
        <f t="shared" si="12"/>
        <v>118272000</v>
      </c>
      <c r="I139" s="43">
        <v>1600</v>
      </c>
      <c r="J139" s="204">
        <v>95000</v>
      </c>
      <c r="K139" s="205">
        <f t="shared" si="14"/>
        <v>152000000</v>
      </c>
      <c r="L139" s="30">
        <f t="shared" si="13"/>
        <v>21080</v>
      </c>
      <c r="M139" s="38" t="s">
        <v>314</v>
      </c>
      <c r="N139" s="193" t="s">
        <v>321</v>
      </c>
      <c r="O139" s="198"/>
      <c r="P139" s="85" t="s">
        <v>50</v>
      </c>
      <c r="Q139" s="22"/>
    </row>
    <row r="140" spans="1:29" ht="12" customHeight="1">
      <c r="A140" s="201">
        <v>102</v>
      </c>
      <c r="B140" s="202">
        <v>42</v>
      </c>
      <c r="C140" s="203" t="s">
        <v>322</v>
      </c>
      <c r="D140" s="202" t="s">
        <v>306</v>
      </c>
      <c r="E140" s="201" t="s">
        <v>220</v>
      </c>
      <c r="F140" s="194">
        <v>1600</v>
      </c>
      <c r="G140" s="195">
        <f>74000*1.05</f>
        <v>77700</v>
      </c>
      <c r="H140" s="196">
        <f t="shared" si="12"/>
        <v>124320000</v>
      </c>
      <c r="I140" s="43">
        <v>1600</v>
      </c>
      <c r="J140" s="204">
        <v>95000</v>
      </c>
      <c r="K140" s="205">
        <f t="shared" si="14"/>
        <v>152000000</v>
      </c>
      <c r="L140" s="30">
        <f t="shared" si="13"/>
        <v>17300</v>
      </c>
      <c r="M140" s="38" t="s">
        <v>314</v>
      </c>
      <c r="N140" s="193" t="s">
        <v>323</v>
      </c>
      <c r="O140" s="198"/>
      <c r="P140" s="85" t="s">
        <v>50</v>
      </c>
      <c r="Q140" s="22"/>
    </row>
    <row r="141" spans="1:29" ht="12" customHeight="1">
      <c r="A141" s="206">
        <v>103</v>
      </c>
      <c r="B141" s="207">
        <v>43</v>
      </c>
      <c r="C141" s="208" t="s">
        <v>324</v>
      </c>
      <c r="D141" s="207" t="s">
        <v>306</v>
      </c>
      <c r="E141" s="206" t="s">
        <v>220</v>
      </c>
      <c r="F141" s="209">
        <v>1300</v>
      </c>
      <c r="G141" s="210">
        <f>73000*1.05</f>
        <v>76650</v>
      </c>
      <c r="H141" s="211">
        <f t="shared" si="12"/>
        <v>99645000</v>
      </c>
      <c r="I141" s="43">
        <v>1300</v>
      </c>
      <c r="J141" s="204">
        <v>95000</v>
      </c>
      <c r="K141" s="205">
        <f t="shared" si="14"/>
        <v>123500000</v>
      </c>
      <c r="L141" s="30">
        <f t="shared" si="13"/>
        <v>18350</v>
      </c>
      <c r="M141" s="38" t="s">
        <v>314</v>
      </c>
      <c r="N141" s="212" t="s">
        <v>323</v>
      </c>
      <c r="O141" s="213"/>
      <c r="P141" s="85" t="s">
        <v>50</v>
      </c>
      <c r="Q141" s="22"/>
    </row>
    <row r="142" spans="1:29" ht="12" customHeight="1">
      <c r="A142" s="214"/>
      <c r="B142" s="214"/>
      <c r="C142" s="63" t="s">
        <v>325</v>
      </c>
      <c r="D142" s="214"/>
      <c r="E142" s="214"/>
      <c r="F142" s="214"/>
      <c r="G142" s="215"/>
      <c r="H142" s="2283">
        <f>+SUM(H99:H141)</f>
        <v>2009961240</v>
      </c>
      <c r="I142" s="216"/>
      <c r="J142" s="216"/>
      <c r="K142" s="216">
        <f>+SUM(K99:K141)</f>
        <v>2336294000</v>
      </c>
      <c r="L142" s="216"/>
      <c r="M142" s="214"/>
      <c r="N142" s="214"/>
      <c r="O142" s="214"/>
      <c r="P142" s="142"/>
      <c r="Q142" s="115"/>
    </row>
    <row r="143" spans="1:29">
      <c r="A143" s="217"/>
      <c r="B143" s="2105" t="s">
        <v>326</v>
      </c>
      <c r="C143" s="2105"/>
      <c r="D143" s="2105"/>
      <c r="E143" s="2105"/>
      <c r="F143" s="2105"/>
      <c r="G143" s="2105"/>
      <c r="H143" s="2105"/>
      <c r="I143" s="2105"/>
      <c r="J143" s="2105"/>
      <c r="K143" s="2105"/>
      <c r="L143" s="2105"/>
      <c r="M143" s="2105"/>
      <c r="N143" s="2105"/>
      <c r="O143" s="2105"/>
    </row>
    <row r="144" spans="1:29">
      <c r="A144" s="217"/>
      <c r="B144" s="218"/>
      <c r="C144" s="218"/>
      <c r="D144" s="218"/>
      <c r="E144" s="218"/>
      <c r="F144" s="218"/>
      <c r="G144" s="218"/>
      <c r="H144" s="218"/>
      <c r="I144" s="218"/>
      <c r="J144" s="218"/>
      <c r="K144" s="218"/>
      <c r="L144" s="218"/>
      <c r="M144" s="218"/>
      <c r="N144" s="218"/>
      <c r="O144" s="218"/>
    </row>
    <row r="145" spans="1:31">
      <c r="A145" s="71" t="s">
        <v>327</v>
      </c>
    </row>
    <row r="146" spans="1:31" s="12" customFormat="1">
      <c r="A146" s="2092" t="s">
        <v>5</v>
      </c>
      <c r="B146" s="2092" t="s">
        <v>6</v>
      </c>
      <c r="C146" s="2094" t="s">
        <v>7</v>
      </c>
      <c r="D146" s="2096" t="s">
        <v>8</v>
      </c>
      <c r="E146" s="2092" t="s">
        <v>9</v>
      </c>
      <c r="F146" s="2098" t="s">
        <v>10</v>
      </c>
      <c r="G146" s="2098"/>
      <c r="H146" s="2098"/>
      <c r="I146" s="2098" t="s">
        <v>11</v>
      </c>
      <c r="J146" s="2098"/>
      <c r="K146" s="2098"/>
      <c r="L146" s="2099" t="s">
        <v>12</v>
      </c>
      <c r="M146" s="9"/>
      <c r="N146" s="9"/>
      <c r="O146" s="9"/>
      <c r="P146" s="2101" t="s">
        <v>13</v>
      </c>
      <c r="Q146" s="2265" t="s">
        <v>4740</v>
      </c>
      <c r="R146" s="2319" t="s">
        <v>4754</v>
      </c>
      <c r="S146" s="2267" t="s">
        <v>4767</v>
      </c>
      <c r="T146" s="2268"/>
      <c r="U146" s="2268"/>
      <c r="V146" s="2268"/>
      <c r="W146" s="2269"/>
      <c r="X146" s="2267" t="s">
        <v>4768</v>
      </c>
      <c r="Y146" s="2268"/>
      <c r="Z146" s="2268"/>
      <c r="AA146" s="2268"/>
      <c r="AB146" s="2268"/>
      <c r="AC146" s="2268"/>
      <c r="AD146" s="2268"/>
      <c r="AE146" s="2269"/>
    </row>
    <row r="147" spans="1:31" s="16" customFormat="1" ht="27">
      <c r="A147" s="2093"/>
      <c r="B147" s="2093"/>
      <c r="C147" s="2095"/>
      <c r="D147" s="2097"/>
      <c r="E147" s="2093"/>
      <c r="F147" s="13" t="s">
        <v>14</v>
      </c>
      <c r="G147" s="13" t="s">
        <v>15</v>
      </c>
      <c r="H147" s="13" t="s">
        <v>16</v>
      </c>
      <c r="I147" s="13" t="s">
        <v>14</v>
      </c>
      <c r="J147" s="13" t="s">
        <v>15</v>
      </c>
      <c r="K147" s="13" t="s">
        <v>16</v>
      </c>
      <c r="L147" s="2100"/>
      <c r="M147" s="14" t="s">
        <v>17</v>
      </c>
      <c r="N147" s="14" t="s">
        <v>18</v>
      </c>
      <c r="O147" s="14" t="s">
        <v>19</v>
      </c>
      <c r="P147" s="2102"/>
      <c r="Q147" s="2266"/>
      <c r="R147" s="2320"/>
      <c r="S147" s="2263" t="s">
        <v>4755</v>
      </c>
      <c r="T147" s="2263" t="s">
        <v>4756</v>
      </c>
      <c r="U147" s="2263" t="s">
        <v>4757</v>
      </c>
      <c r="V147" s="2263" t="s">
        <v>4758</v>
      </c>
      <c r="W147" s="2263" t="s">
        <v>4759</v>
      </c>
      <c r="X147" s="2264" t="s">
        <v>4760</v>
      </c>
      <c r="Y147" s="2264" t="s">
        <v>4761</v>
      </c>
      <c r="Z147" s="2264" t="s">
        <v>4762</v>
      </c>
      <c r="AA147" s="2264" t="s">
        <v>4763</v>
      </c>
      <c r="AB147" s="2264" t="s">
        <v>4764</v>
      </c>
      <c r="AC147" s="2264" t="s">
        <v>4765</v>
      </c>
      <c r="AD147" s="2264" t="s">
        <v>4766</v>
      </c>
      <c r="AE147" s="2264" t="s">
        <v>4755</v>
      </c>
    </row>
    <row r="148" spans="1:31" s="24" customFormat="1">
      <c r="A148" s="17">
        <v>1</v>
      </c>
      <c r="B148" s="17">
        <v>2</v>
      </c>
      <c r="C148" s="18">
        <v>3</v>
      </c>
      <c r="D148" s="19">
        <v>4</v>
      </c>
      <c r="E148" s="17">
        <v>5</v>
      </c>
      <c r="F148" s="13">
        <v>6</v>
      </c>
      <c r="G148" s="20">
        <v>7</v>
      </c>
      <c r="H148" s="20">
        <v>8</v>
      </c>
      <c r="I148" s="20"/>
      <c r="J148" s="20">
        <v>9</v>
      </c>
      <c r="K148" s="20">
        <v>10</v>
      </c>
      <c r="L148" s="20">
        <v>11</v>
      </c>
      <c r="M148" s="19">
        <v>9</v>
      </c>
      <c r="N148" s="19">
        <v>10</v>
      </c>
      <c r="O148" s="19">
        <v>11</v>
      </c>
      <c r="P148" s="21">
        <v>12</v>
      </c>
      <c r="Q148" s="22"/>
      <c r="R148" s="2321"/>
      <c r="S148" s="23"/>
    </row>
    <row r="149" spans="1:31" ht="18">
      <c r="A149" s="219">
        <v>104</v>
      </c>
      <c r="B149" s="219">
        <v>1</v>
      </c>
      <c r="C149" s="220" t="s">
        <v>328</v>
      </c>
      <c r="D149" s="221" t="s">
        <v>329</v>
      </c>
      <c r="E149" s="222" t="s">
        <v>247</v>
      </c>
      <c r="F149" s="223">
        <v>12000</v>
      </c>
      <c r="G149" s="224">
        <v>72000</v>
      </c>
      <c r="H149" s="225">
        <f t="shared" ref="H149:H164" si="15">G149*F149</f>
        <v>864000000</v>
      </c>
      <c r="I149" s="81">
        <v>12000</v>
      </c>
      <c r="J149" s="32">
        <v>73250</v>
      </c>
      <c r="K149" s="32">
        <f>I149*J149</f>
        <v>879000000</v>
      </c>
      <c r="L149" s="30">
        <f t="shared" ref="L149:L164" si="16">J149-G149</f>
        <v>1250</v>
      </c>
      <c r="M149" s="225" t="s">
        <v>330</v>
      </c>
      <c r="N149" s="222" t="s">
        <v>331</v>
      </c>
      <c r="O149" s="226"/>
      <c r="P149" s="227" t="s">
        <v>332</v>
      </c>
      <c r="Q149" s="22"/>
    </row>
    <row r="150" spans="1:31" ht="18">
      <c r="A150" s="191">
        <v>105</v>
      </c>
      <c r="B150" s="191">
        <v>2</v>
      </c>
      <c r="C150" s="228" t="s">
        <v>333</v>
      </c>
      <c r="D150" s="229" t="s">
        <v>329</v>
      </c>
      <c r="E150" s="193" t="s">
        <v>247</v>
      </c>
      <c r="F150" s="230">
        <v>7000</v>
      </c>
      <c r="G150" s="231">
        <v>65000</v>
      </c>
      <c r="H150" s="232">
        <f t="shared" si="15"/>
        <v>455000000</v>
      </c>
      <c r="I150" s="43">
        <v>7000</v>
      </c>
      <c r="J150" s="44">
        <v>67250</v>
      </c>
      <c r="K150" s="32">
        <f t="shared" ref="K150:K164" si="17">I150*J150</f>
        <v>470750000</v>
      </c>
      <c r="L150" s="30">
        <f t="shared" si="16"/>
        <v>2250</v>
      </c>
      <c r="M150" s="232" t="s">
        <v>330</v>
      </c>
      <c r="N150" s="193" t="s">
        <v>334</v>
      </c>
      <c r="O150" s="233"/>
      <c r="P150" s="46" t="s">
        <v>332</v>
      </c>
      <c r="Q150" s="22"/>
    </row>
    <row r="151" spans="1:31" ht="18">
      <c r="A151" s="191">
        <v>106</v>
      </c>
      <c r="B151" s="191">
        <v>3</v>
      </c>
      <c r="C151" s="228" t="s">
        <v>335</v>
      </c>
      <c r="D151" s="229" t="s">
        <v>329</v>
      </c>
      <c r="E151" s="193" t="s">
        <v>247</v>
      </c>
      <c r="F151" s="230">
        <v>9000</v>
      </c>
      <c r="G151" s="231">
        <v>65000</v>
      </c>
      <c r="H151" s="232">
        <f t="shared" si="15"/>
        <v>585000000</v>
      </c>
      <c r="I151" s="43">
        <v>9000</v>
      </c>
      <c r="J151" s="44">
        <v>65550</v>
      </c>
      <c r="K151" s="32">
        <f t="shared" si="17"/>
        <v>589950000</v>
      </c>
      <c r="L151" s="30">
        <f t="shared" si="16"/>
        <v>550</v>
      </c>
      <c r="M151" s="232" t="s">
        <v>330</v>
      </c>
      <c r="N151" s="193" t="s">
        <v>336</v>
      </c>
      <c r="O151" s="233"/>
      <c r="P151" s="46" t="s">
        <v>332</v>
      </c>
      <c r="Q151" s="22"/>
    </row>
    <row r="152" spans="1:31" ht="18">
      <c r="A152" s="191">
        <v>107</v>
      </c>
      <c r="B152" s="191">
        <v>4</v>
      </c>
      <c r="C152" s="228" t="s">
        <v>337</v>
      </c>
      <c r="D152" s="229" t="s">
        <v>329</v>
      </c>
      <c r="E152" s="193" t="s">
        <v>247</v>
      </c>
      <c r="F152" s="230">
        <v>5000</v>
      </c>
      <c r="G152" s="231">
        <v>64000</v>
      </c>
      <c r="H152" s="232">
        <f t="shared" si="15"/>
        <v>320000000</v>
      </c>
      <c r="I152" s="43">
        <v>5000</v>
      </c>
      <c r="J152" s="44">
        <v>65000</v>
      </c>
      <c r="K152" s="32">
        <f t="shared" si="17"/>
        <v>325000000</v>
      </c>
      <c r="L152" s="30">
        <f t="shared" si="16"/>
        <v>1000</v>
      </c>
      <c r="M152" s="232" t="s">
        <v>330</v>
      </c>
      <c r="N152" s="193" t="s">
        <v>338</v>
      </c>
      <c r="O152" s="233"/>
      <c r="P152" s="46" t="s">
        <v>332</v>
      </c>
      <c r="Q152" s="22"/>
    </row>
    <row r="153" spans="1:31" ht="18">
      <c r="A153" s="191">
        <v>108</v>
      </c>
      <c r="B153" s="191">
        <v>5</v>
      </c>
      <c r="C153" s="228" t="s">
        <v>339</v>
      </c>
      <c r="D153" s="229" t="s">
        <v>329</v>
      </c>
      <c r="E153" s="193" t="s">
        <v>247</v>
      </c>
      <c r="F153" s="230">
        <v>2000</v>
      </c>
      <c r="G153" s="231">
        <v>68000</v>
      </c>
      <c r="H153" s="232">
        <f t="shared" si="15"/>
        <v>136000000</v>
      </c>
      <c r="I153" s="43">
        <v>2000</v>
      </c>
      <c r="J153" s="44">
        <v>70000</v>
      </c>
      <c r="K153" s="32">
        <f t="shared" si="17"/>
        <v>140000000</v>
      </c>
      <c r="L153" s="30">
        <f t="shared" si="16"/>
        <v>2000</v>
      </c>
      <c r="M153" s="232" t="s">
        <v>330</v>
      </c>
      <c r="N153" s="193" t="s">
        <v>340</v>
      </c>
      <c r="O153" s="233"/>
      <c r="P153" s="46" t="s">
        <v>332</v>
      </c>
      <c r="Q153" s="22"/>
    </row>
    <row r="154" spans="1:31" ht="18">
      <c r="A154" s="191">
        <v>109</v>
      </c>
      <c r="B154" s="191">
        <v>6</v>
      </c>
      <c r="C154" s="228" t="s">
        <v>341</v>
      </c>
      <c r="D154" s="229" t="s">
        <v>329</v>
      </c>
      <c r="E154" s="193" t="s">
        <v>247</v>
      </c>
      <c r="F154" s="230">
        <v>6000</v>
      </c>
      <c r="G154" s="231">
        <v>84500</v>
      </c>
      <c r="H154" s="232">
        <f t="shared" si="15"/>
        <v>507000000</v>
      </c>
      <c r="I154" s="43">
        <v>6000</v>
      </c>
      <c r="J154" s="44">
        <v>97175</v>
      </c>
      <c r="K154" s="32">
        <f t="shared" si="17"/>
        <v>583050000</v>
      </c>
      <c r="L154" s="30">
        <f t="shared" si="16"/>
        <v>12675</v>
      </c>
      <c r="M154" s="232" t="s">
        <v>330</v>
      </c>
      <c r="N154" s="193" t="s">
        <v>342</v>
      </c>
      <c r="O154" s="233"/>
      <c r="P154" s="46" t="s">
        <v>332</v>
      </c>
      <c r="Q154" s="22"/>
    </row>
    <row r="155" spans="1:31" ht="18">
      <c r="A155" s="191">
        <v>110</v>
      </c>
      <c r="B155" s="191">
        <v>7</v>
      </c>
      <c r="C155" s="228" t="s">
        <v>343</v>
      </c>
      <c r="D155" s="229" t="s">
        <v>344</v>
      </c>
      <c r="E155" s="193" t="s">
        <v>247</v>
      </c>
      <c r="F155" s="230">
        <v>540</v>
      </c>
      <c r="G155" s="231">
        <v>187000</v>
      </c>
      <c r="H155" s="232">
        <f t="shared" si="15"/>
        <v>100980000</v>
      </c>
      <c r="I155" s="43">
        <v>540</v>
      </c>
      <c r="J155" s="44">
        <v>197225</v>
      </c>
      <c r="K155" s="32">
        <f t="shared" si="17"/>
        <v>106501500</v>
      </c>
      <c r="L155" s="30">
        <f t="shared" si="16"/>
        <v>10225</v>
      </c>
      <c r="M155" s="232" t="s">
        <v>345</v>
      </c>
      <c r="N155" s="193" t="s">
        <v>346</v>
      </c>
      <c r="O155" s="233"/>
      <c r="P155" s="46" t="s">
        <v>332</v>
      </c>
      <c r="Q155" s="22"/>
    </row>
    <row r="156" spans="1:31" ht="18">
      <c r="A156" s="191">
        <v>111</v>
      </c>
      <c r="B156" s="191">
        <v>8</v>
      </c>
      <c r="C156" s="228" t="s">
        <v>347</v>
      </c>
      <c r="D156" s="229" t="s">
        <v>344</v>
      </c>
      <c r="E156" s="193" t="s">
        <v>247</v>
      </c>
      <c r="F156" s="230">
        <v>540</v>
      </c>
      <c r="G156" s="231">
        <v>168000</v>
      </c>
      <c r="H156" s="232">
        <f t="shared" si="15"/>
        <v>90720000</v>
      </c>
      <c r="I156" s="43">
        <v>540</v>
      </c>
      <c r="J156" s="44">
        <v>193775</v>
      </c>
      <c r="K156" s="32">
        <f t="shared" si="17"/>
        <v>104638500</v>
      </c>
      <c r="L156" s="30">
        <f t="shared" si="16"/>
        <v>25775</v>
      </c>
      <c r="M156" s="232" t="s">
        <v>345</v>
      </c>
      <c r="N156" s="193" t="s">
        <v>348</v>
      </c>
      <c r="O156" s="193"/>
      <c r="P156" s="46" t="s">
        <v>332</v>
      </c>
      <c r="Q156" s="22"/>
    </row>
    <row r="157" spans="1:31" ht="18">
      <c r="A157" s="191">
        <v>112</v>
      </c>
      <c r="B157" s="191">
        <v>9</v>
      </c>
      <c r="C157" s="228" t="s">
        <v>349</v>
      </c>
      <c r="D157" s="229" t="s">
        <v>344</v>
      </c>
      <c r="E157" s="193" t="s">
        <v>247</v>
      </c>
      <c r="F157" s="230">
        <v>600</v>
      </c>
      <c r="G157" s="231">
        <v>168000</v>
      </c>
      <c r="H157" s="232">
        <f t="shared" si="15"/>
        <v>100800000</v>
      </c>
      <c r="I157" s="43">
        <v>600</v>
      </c>
      <c r="J157" s="44">
        <v>181125</v>
      </c>
      <c r="K157" s="32">
        <f t="shared" si="17"/>
        <v>108675000</v>
      </c>
      <c r="L157" s="30">
        <f t="shared" si="16"/>
        <v>13125</v>
      </c>
      <c r="M157" s="232" t="s">
        <v>345</v>
      </c>
      <c r="N157" s="193" t="s">
        <v>350</v>
      </c>
      <c r="O157" s="233"/>
      <c r="P157" s="46" t="s">
        <v>332</v>
      </c>
      <c r="Q157" s="22"/>
    </row>
    <row r="158" spans="1:31" ht="18">
      <c r="A158" s="191">
        <v>113</v>
      </c>
      <c r="B158" s="191">
        <v>10</v>
      </c>
      <c r="C158" s="228" t="s">
        <v>351</v>
      </c>
      <c r="D158" s="229" t="s">
        <v>344</v>
      </c>
      <c r="E158" s="193" t="s">
        <v>247</v>
      </c>
      <c r="F158" s="230">
        <v>216</v>
      </c>
      <c r="G158" s="231">
        <v>159000</v>
      </c>
      <c r="H158" s="232">
        <f t="shared" si="15"/>
        <v>34344000</v>
      </c>
      <c r="I158" s="43">
        <v>216</v>
      </c>
      <c r="J158" s="44">
        <v>176525</v>
      </c>
      <c r="K158" s="32">
        <f t="shared" si="17"/>
        <v>38129400</v>
      </c>
      <c r="L158" s="30">
        <f t="shared" si="16"/>
        <v>17525</v>
      </c>
      <c r="M158" s="232" t="s">
        <v>345</v>
      </c>
      <c r="N158" s="193" t="s">
        <v>352</v>
      </c>
      <c r="O158" s="193"/>
      <c r="P158" s="46" t="s">
        <v>332</v>
      </c>
      <c r="Q158" s="22"/>
    </row>
    <row r="159" spans="1:31" ht="27">
      <c r="A159" s="191">
        <v>114</v>
      </c>
      <c r="B159" s="191">
        <v>11</v>
      </c>
      <c r="C159" s="228" t="s">
        <v>353</v>
      </c>
      <c r="D159" s="229" t="s">
        <v>344</v>
      </c>
      <c r="E159" s="193" t="s">
        <v>247</v>
      </c>
      <c r="F159" s="230">
        <v>108</v>
      </c>
      <c r="G159" s="231">
        <v>159000</v>
      </c>
      <c r="H159" s="232">
        <f t="shared" si="15"/>
        <v>17172000</v>
      </c>
      <c r="I159" s="43">
        <v>108</v>
      </c>
      <c r="J159" s="44">
        <v>176525</v>
      </c>
      <c r="K159" s="32">
        <f t="shared" si="17"/>
        <v>19064700</v>
      </c>
      <c r="L159" s="30">
        <f t="shared" si="16"/>
        <v>17525</v>
      </c>
      <c r="M159" s="232" t="s">
        <v>345</v>
      </c>
      <c r="N159" s="193" t="s">
        <v>354</v>
      </c>
      <c r="O159" s="193"/>
      <c r="P159" s="46" t="s">
        <v>332</v>
      </c>
      <c r="Q159" s="22"/>
    </row>
    <row r="160" spans="1:31" ht="18">
      <c r="A160" s="191">
        <v>115</v>
      </c>
      <c r="B160" s="191">
        <v>12</v>
      </c>
      <c r="C160" s="228" t="s">
        <v>355</v>
      </c>
      <c r="D160" s="229" t="s">
        <v>329</v>
      </c>
      <c r="E160" s="193" t="s">
        <v>247</v>
      </c>
      <c r="F160" s="230">
        <v>2000</v>
      </c>
      <c r="G160" s="231">
        <v>25000</v>
      </c>
      <c r="H160" s="232">
        <f t="shared" si="15"/>
        <v>50000000</v>
      </c>
      <c r="I160" s="43">
        <v>2000</v>
      </c>
      <c r="J160" s="44">
        <v>26025</v>
      </c>
      <c r="K160" s="32">
        <f t="shared" si="17"/>
        <v>52050000</v>
      </c>
      <c r="L160" s="30">
        <f t="shared" si="16"/>
        <v>1025</v>
      </c>
      <c r="M160" s="232" t="s">
        <v>330</v>
      </c>
      <c r="N160" s="193" t="s">
        <v>356</v>
      </c>
      <c r="O160" s="233"/>
      <c r="P160" s="46" t="s">
        <v>332</v>
      </c>
      <c r="Q160" s="22"/>
    </row>
    <row r="161" spans="1:31" ht="18">
      <c r="A161" s="191">
        <v>116</v>
      </c>
      <c r="B161" s="191">
        <v>13</v>
      </c>
      <c r="C161" s="228" t="s">
        <v>357</v>
      </c>
      <c r="D161" s="229" t="s">
        <v>329</v>
      </c>
      <c r="E161" s="193" t="s">
        <v>247</v>
      </c>
      <c r="F161" s="230">
        <v>3000</v>
      </c>
      <c r="G161" s="231">
        <v>25000</v>
      </c>
      <c r="H161" s="232">
        <f t="shared" si="15"/>
        <v>75000000</v>
      </c>
      <c r="I161" s="99">
        <v>3000</v>
      </c>
      <c r="J161" s="54">
        <v>26700</v>
      </c>
      <c r="K161" s="32">
        <f t="shared" si="17"/>
        <v>80100000</v>
      </c>
      <c r="L161" s="30">
        <f t="shared" si="16"/>
        <v>1700</v>
      </c>
      <c r="M161" s="232" t="s">
        <v>330</v>
      </c>
      <c r="N161" s="193" t="s">
        <v>358</v>
      </c>
      <c r="O161" s="233"/>
      <c r="P161" s="46" t="s">
        <v>332</v>
      </c>
      <c r="Q161" s="22"/>
    </row>
    <row r="162" spans="1:31" ht="18">
      <c r="A162" s="191">
        <v>117</v>
      </c>
      <c r="B162" s="191">
        <v>14</v>
      </c>
      <c r="C162" s="228" t="s">
        <v>359</v>
      </c>
      <c r="D162" s="229" t="s">
        <v>329</v>
      </c>
      <c r="E162" s="193" t="s">
        <v>247</v>
      </c>
      <c r="F162" s="230">
        <v>3000</v>
      </c>
      <c r="G162" s="231">
        <v>25000</v>
      </c>
      <c r="H162" s="232">
        <f t="shared" si="15"/>
        <v>75000000</v>
      </c>
      <c r="I162" s="43">
        <v>3000</v>
      </c>
      <c r="J162" s="44">
        <v>29700</v>
      </c>
      <c r="K162" s="32">
        <f t="shared" si="17"/>
        <v>89100000</v>
      </c>
      <c r="L162" s="30">
        <f t="shared" si="16"/>
        <v>4700</v>
      </c>
      <c r="M162" s="232" t="s">
        <v>330</v>
      </c>
      <c r="N162" s="193" t="s">
        <v>360</v>
      </c>
      <c r="O162" s="233"/>
      <c r="P162" s="46" t="s">
        <v>332</v>
      </c>
      <c r="Q162" s="22"/>
    </row>
    <row r="163" spans="1:31" ht="18">
      <c r="A163" s="191">
        <v>118</v>
      </c>
      <c r="B163" s="191">
        <v>15</v>
      </c>
      <c r="C163" s="228" t="s">
        <v>361</v>
      </c>
      <c r="D163" s="229" t="s">
        <v>329</v>
      </c>
      <c r="E163" s="193" t="s">
        <v>247</v>
      </c>
      <c r="F163" s="230">
        <v>216</v>
      </c>
      <c r="G163" s="231">
        <v>35000</v>
      </c>
      <c r="H163" s="232">
        <f t="shared" si="15"/>
        <v>7560000</v>
      </c>
      <c r="I163" s="43">
        <v>216</v>
      </c>
      <c r="J163" s="44">
        <v>38330</v>
      </c>
      <c r="K163" s="32">
        <f t="shared" si="17"/>
        <v>8279280</v>
      </c>
      <c r="L163" s="30">
        <f t="shared" si="16"/>
        <v>3330</v>
      </c>
      <c r="M163" s="232" t="s">
        <v>330</v>
      </c>
      <c r="N163" s="193" t="s">
        <v>362</v>
      </c>
      <c r="O163" s="233"/>
      <c r="P163" s="46" t="s">
        <v>332</v>
      </c>
      <c r="Q163" s="22"/>
    </row>
    <row r="164" spans="1:31" ht="18">
      <c r="A164" s="234">
        <v>119</v>
      </c>
      <c r="B164" s="234">
        <v>16</v>
      </c>
      <c r="C164" s="235" t="s">
        <v>363</v>
      </c>
      <c r="D164" s="236" t="s">
        <v>329</v>
      </c>
      <c r="E164" s="237" t="s">
        <v>247</v>
      </c>
      <c r="F164" s="238">
        <v>48</v>
      </c>
      <c r="G164" s="239">
        <v>205000</v>
      </c>
      <c r="H164" s="240">
        <f t="shared" si="15"/>
        <v>9840000</v>
      </c>
      <c r="I164" s="99">
        <v>48</v>
      </c>
      <c r="J164" s="54">
        <v>210000</v>
      </c>
      <c r="K164" s="241">
        <f t="shared" si="17"/>
        <v>10080000</v>
      </c>
      <c r="L164" s="242">
        <f t="shared" si="16"/>
        <v>5000</v>
      </c>
      <c r="M164" s="240" t="s">
        <v>330</v>
      </c>
      <c r="N164" s="212" t="s">
        <v>364</v>
      </c>
      <c r="O164" s="243"/>
      <c r="P164" s="56" t="s">
        <v>332</v>
      </c>
      <c r="Q164" s="22"/>
    </row>
    <row r="165" spans="1:31">
      <c r="A165" s="244"/>
      <c r="B165" s="244"/>
      <c r="C165" s="2106" t="s">
        <v>365</v>
      </c>
      <c r="D165" s="2107"/>
      <c r="E165" s="2107"/>
      <c r="F165" s="2107"/>
      <c r="G165" s="2108"/>
      <c r="H165" s="2284">
        <f>SUM(H149:H164)</f>
        <v>3428416000</v>
      </c>
      <c r="I165" s="245"/>
      <c r="J165" s="245"/>
      <c r="K165" s="245">
        <f>SUM(K149:K164)</f>
        <v>3604368380</v>
      </c>
      <c r="L165" s="245"/>
      <c r="M165" s="246"/>
      <c r="N165" s="247"/>
      <c r="O165" s="247"/>
      <c r="P165" s="142"/>
      <c r="Q165" s="142"/>
      <c r="R165" s="743"/>
      <c r="S165" s="249"/>
      <c r="T165" s="247"/>
      <c r="U165" s="247"/>
      <c r="V165" s="247"/>
      <c r="W165" s="247"/>
    </row>
    <row r="167" spans="1:31">
      <c r="A167" s="71" t="s">
        <v>366</v>
      </c>
    </row>
    <row r="169" spans="1:31" s="12" customFormat="1">
      <c r="A169" s="2092" t="s">
        <v>5</v>
      </c>
      <c r="B169" s="2092" t="s">
        <v>6</v>
      </c>
      <c r="C169" s="2094" t="s">
        <v>7</v>
      </c>
      <c r="D169" s="2096" t="s">
        <v>8</v>
      </c>
      <c r="E169" s="2092" t="s">
        <v>9</v>
      </c>
      <c r="F169" s="2098" t="s">
        <v>10</v>
      </c>
      <c r="G169" s="2098"/>
      <c r="H169" s="2098"/>
      <c r="I169" s="2098" t="s">
        <v>11</v>
      </c>
      <c r="J169" s="2098"/>
      <c r="K169" s="2098"/>
      <c r="L169" s="2099" t="s">
        <v>12</v>
      </c>
      <c r="M169" s="9"/>
      <c r="N169" s="9"/>
      <c r="O169" s="9"/>
      <c r="P169" s="2101" t="s">
        <v>13</v>
      </c>
      <c r="Q169" s="2265" t="s">
        <v>4740</v>
      </c>
      <c r="R169" s="2319" t="s">
        <v>4754</v>
      </c>
      <c r="S169" s="2267" t="s">
        <v>4767</v>
      </c>
      <c r="T169" s="2268"/>
      <c r="U169" s="2268"/>
      <c r="V169" s="2268"/>
      <c r="W169" s="2269"/>
      <c r="X169" s="2267" t="s">
        <v>4768</v>
      </c>
      <c r="Y169" s="2268"/>
      <c r="Z169" s="2268"/>
      <c r="AA169" s="2268"/>
      <c r="AB169" s="2268"/>
      <c r="AC169" s="2268"/>
      <c r="AD169" s="2268"/>
      <c r="AE169" s="2269"/>
    </row>
    <row r="170" spans="1:31" s="16" customFormat="1" ht="27">
      <c r="A170" s="2093"/>
      <c r="B170" s="2093"/>
      <c r="C170" s="2095"/>
      <c r="D170" s="2097"/>
      <c r="E170" s="2093"/>
      <c r="F170" s="13" t="s">
        <v>14</v>
      </c>
      <c r="G170" s="13" t="s">
        <v>15</v>
      </c>
      <c r="H170" s="13" t="s">
        <v>16</v>
      </c>
      <c r="I170" s="13" t="s">
        <v>14</v>
      </c>
      <c r="J170" s="13" t="s">
        <v>15</v>
      </c>
      <c r="K170" s="13" t="s">
        <v>16</v>
      </c>
      <c r="L170" s="2100"/>
      <c r="M170" s="14" t="s">
        <v>17</v>
      </c>
      <c r="N170" s="14" t="s">
        <v>18</v>
      </c>
      <c r="O170" s="14" t="s">
        <v>19</v>
      </c>
      <c r="P170" s="2102"/>
      <c r="Q170" s="2266"/>
      <c r="R170" s="2320"/>
      <c r="S170" s="2263" t="s">
        <v>4755</v>
      </c>
      <c r="T170" s="2263" t="s">
        <v>4756</v>
      </c>
      <c r="U170" s="2263" t="s">
        <v>4757</v>
      </c>
      <c r="V170" s="2263" t="s">
        <v>4758</v>
      </c>
      <c r="W170" s="2263" t="s">
        <v>4759</v>
      </c>
      <c r="X170" s="2264" t="s">
        <v>4760</v>
      </c>
      <c r="Y170" s="2264" t="s">
        <v>4761</v>
      </c>
      <c r="Z170" s="2264" t="s">
        <v>4762</v>
      </c>
      <c r="AA170" s="2264" t="s">
        <v>4763</v>
      </c>
      <c r="AB170" s="2264" t="s">
        <v>4764</v>
      </c>
      <c r="AC170" s="2264" t="s">
        <v>4765</v>
      </c>
      <c r="AD170" s="2264" t="s">
        <v>4766</v>
      </c>
      <c r="AE170" s="2264" t="s">
        <v>4755</v>
      </c>
    </row>
    <row r="171" spans="1:31" s="24" customFormat="1">
      <c r="A171" s="17">
        <v>1</v>
      </c>
      <c r="B171" s="17">
        <v>2</v>
      </c>
      <c r="C171" s="18">
        <v>3</v>
      </c>
      <c r="D171" s="19">
        <v>4</v>
      </c>
      <c r="E171" s="17">
        <v>5</v>
      </c>
      <c r="F171" s="13">
        <v>6</v>
      </c>
      <c r="G171" s="20">
        <v>7</v>
      </c>
      <c r="H171" s="20">
        <v>8</v>
      </c>
      <c r="I171" s="20"/>
      <c r="J171" s="20">
        <v>9</v>
      </c>
      <c r="K171" s="20">
        <v>10</v>
      </c>
      <c r="L171" s="20">
        <v>11</v>
      </c>
      <c r="M171" s="19">
        <v>9</v>
      </c>
      <c r="N171" s="19">
        <v>10</v>
      </c>
      <c r="O171" s="19">
        <v>11</v>
      </c>
      <c r="P171" s="21">
        <v>12</v>
      </c>
      <c r="Q171" s="22"/>
      <c r="R171" s="2321"/>
      <c r="S171" s="23"/>
    </row>
    <row r="172" spans="1:31" ht="18">
      <c r="A172" s="250">
        <v>120</v>
      </c>
      <c r="B172" s="251">
        <v>1</v>
      </c>
      <c r="C172" s="252" t="s">
        <v>367</v>
      </c>
      <c r="D172" s="253" t="s">
        <v>368</v>
      </c>
      <c r="E172" s="254" t="s">
        <v>220</v>
      </c>
      <c r="F172" s="254">
        <v>180</v>
      </c>
      <c r="G172" s="250">
        <v>50400</v>
      </c>
      <c r="H172" s="250">
        <f t="shared" ref="H172:H201" si="18">G172*F172</f>
        <v>9072000</v>
      </c>
      <c r="I172" s="250">
        <v>180</v>
      </c>
      <c r="J172" s="250">
        <v>64837.5</v>
      </c>
      <c r="K172" s="250">
        <f t="shared" ref="K172:K201" si="19">I172*J172</f>
        <v>11670750</v>
      </c>
      <c r="L172" s="30">
        <f t="shared" ref="L172:L201" si="20">J172-G172</f>
        <v>14437.5</v>
      </c>
      <c r="M172" s="254" t="s">
        <v>369</v>
      </c>
      <c r="N172" s="255">
        <v>14300536</v>
      </c>
      <c r="O172" s="250"/>
      <c r="P172" s="227" t="s">
        <v>370</v>
      </c>
      <c r="Q172" s="22"/>
    </row>
    <row r="173" spans="1:31" ht="18">
      <c r="A173" s="256">
        <v>121</v>
      </c>
      <c r="B173" s="257">
        <v>2</v>
      </c>
      <c r="C173" s="258" t="s">
        <v>371</v>
      </c>
      <c r="D173" s="253" t="s">
        <v>368</v>
      </c>
      <c r="E173" s="231" t="s">
        <v>220</v>
      </c>
      <c r="F173" s="231">
        <v>180</v>
      </c>
      <c r="G173" s="250">
        <v>45360</v>
      </c>
      <c r="H173" s="250">
        <f t="shared" si="18"/>
        <v>8164800</v>
      </c>
      <c r="I173" s="250">
        <v>180</v>
      </c>
      <c r="J173" s="250">
        <v>58492.350000000006</v>
      </c>
      <c r="K173" s="250">
        <f t="shared" si="19"/>
        <v>10528623.000000002</v>
      </c>
      <c r="L173" s="30">
        <f t="shared" si="20"/>
        <v>13132.350000000006</v>
      </c>
      <c r="M173" s="254" t="s">
        <v>369</v>
      </c>
      <c r="N173" s="255">
        <v>15400140</v>
      </c>
      <c r="O173" s="256"/>
      <c r="P173" s="46" t="s">
        <v>370</v>
      </c>
      <c r="Q173" s="22"/>
    </row>
    <row r="174" spans="1:31" ht="18">
      <c r="A174" s="256">
        <v>122</v>
      </c>
      <c r="B174" s="251">
        <v>3</v>
      </c>
      <c r="C174" s="258" t="s">
        <v>372</v>
      </c>
      <c r="D174" s="253" t="s">
        <v>368</v>
      </c>
      <c r="E174" s="254" t="s">
        <v>220</v>
      </c>
      <c r="F174" s="254">
        <v>90</v>
      </c>
      <c r="G174" s="250">
        <v>40110</v>
      </c>
      <c r="H174" s="250">
        <f t="shared" si="18"/>
        <v>3609900</v>
      </c>
      <c r="I174" s="250">
        <v>90</v>
      </c>
      <c r="J174" s="250">
        <v>51656.850000000006</v>
      </c>
      <c r="K174" s="250">
        <f t="shared" si="19"/>
        <v>4649116.5000000009</v>
      </c>
      <c r="L174" s="30">
        <f t="shared" si="20"/>
        <v>11546.850000000006</v>
      </c>
      <c r="M174" s="254" t="s">
        <v>369</v>
      </c>
      <c r="N174" s="254" t="s">
        <v>373</v>
      </c>
      <c r="O174" s="250"/>
      <c r="P174" s="46" t="s">
        <v>370</v>
      </c>
      <c r="Q174" s="22"/>
    </row>
    <row r="175" spans="1:31" ht="18">
      <c r="A175" s="256">
        <v>123</v>
      </c>
      <c r="B175" s="257">
        <v>4</v>
      </c>
      <c r="C175" s="258" t="s">
        <v>374</v>
      </c>
      <c r="D175" s="253" t="s">
        <v>368</v>
      </c>
      <c r="E175" s="231" t="s">
        <v>220</v>
      </c>
      <c r="F175" s="231">
        <v>90</v>
      </c>
      <c r="G175" s="250">
        <v>40110</v>
      </c>
      <c r="H175" s="250">
        <f t="shared" si="18"/>
        <v>3609900</v>
      </c>
      <c r="I175" s="250">
        <v>90</v>
      </c>
      <c r="J175" s="250">
        <v>52731</v>
      </c>
      <c r="K175" s="250">
        <f t="shared" si="19"/>
        <v>4745790</v>
      </c>
      <c r="L175" s="30">
        <f t="shared" si="20"/>
        <v>12621</v>
      </c>
      <c r="M175" s="254" t="s">
        <v>369</v>
      </c>
      <c r="N175" s="254" t="s">
        <v>375</v>
      </c>
      <c r="O175" s="256"/>
      <c r="P175" s="46" t="s">
        <v>370</v>
      </c>
      <c r="Q175" s="22"/>
    </row>
    <row r="176" spans="1:31" ht="18">
      <c r="A176" s="256">
        <v>124</v>
      </c>
      <c r="B176" s="251">
        <v>5</v>
      </c>
      <c r="C176" s="258" t="s">
        <v>376</v>
      </c>
      <c r="D176" s="253" t="s">
        <v>368</v>
      </c>
      <c r="E176" s="231" t="s">
        <v>220</v>
      </c>
      <c r="F176" s="231">
        <v>90</v>
      </c>
      <c r="G176" s="250">
        <v>39480</v>
      </c>
      <c r="H176" s="250">
        <f t="shared" si="18"/>
        <v>3553200</v>
      </c>
      <c r="I176" s="250">
        <v>90</v>
      </c>
      <c r="J176" s="250">
        <v>51852.15</v>
      </c>
      <c r="K176" s="250">
        <f t="shared" si="19"/>
        <v>4666693.5</v>
      </c>
      <c r="L176" s="30">
        <f t="shared" si="20"/>
        <v>12372.150000000001</v>
      </c>
      <c r="M176" s="254" t="s">
        <v>369</v>
      </c>
      <c r="N176" s="254" t="s">
        <v>377</v>
      </c>
      <c r="O176" s="256"/>
      <c r="P176" s="46" t="s">
        <v>370</v>
      </c>
      <c r="Q176" s="22"/>
    </row>
    <row r="177" spans="1:29" ht="18">
      <c r="A177" s="256">
        <v>125</v>
      </c>
      <c r="B177" s="257">
        <v>6</v>
      </c>
      <c r="C177" s="258" t="s">
        <v>378</v>
      </c>
      <c r="D177" s="253" t="s">
        <v>368</v>
      </c>
      <c r="E177" s="231" t="s">
        <v>220</v>
      </c>
      <c r="F177" s="231">
        <v>90</v>
      </c>
      <c r="G177" s="250">
        <v>43680</v>
      </c>
      <c r="H177" s="250">
        <f t="shared" si="18"/>
        <v>3931200</v>
      </c>
      <c r="I177" s="250">
        <v>90</v>
      </c>
      <c r="J177" s="250">
        <v>56832.3</v>
      </c>
      <c r="K177" s="250">
        <f t="shared" si="19"/>
        <v>5114907</v>
      </c>
      <c r="L177" s="30">
        <f t="shared" si="20"/>
        <v>13152.300000000003</v>
      </c>
      <c r="M177" s="254" t="s">
        <v>369</v>
      </c>
      <c r="N177" s="254" t="s">
        <v>379</v>
      </c>
      <c r="O177" s="256"/>
      <c r="P177" s="46" t="s">
        <v>370</v>
      </c>
      <c r="Q177" s="22"/>
    </row>
    <row r="178" spans="1:29" ht="18">
      <c r="A178" s="256">
        <v>126</v>
      </c>
      <c r="B178" s="251">
        <v>7</v>
      </c>
      <c r="C178" s="258" t="s">
        <v>380</v>
      </c>
      <c r="D178" s="253" t="s">
        <v>368</v>
      </c>
      <c r="E178" s="231" t="s">
        <v>220</v>
      </c>
      <c r="F178" s="231">
        <v>90</v>
      </c>
      <c r="G178" s="250">
        <v>41580</v>
      </c>
      <c r="H178" s="250">
        <f t="shared" si="18"/>
        <v>3742200</v>
      </c>
      <c r="I178" s="250">
        <v>90</v>
      </c>
      <c r="J178" s="250">
        <v>54781.65</v>
      </c>
      <c r="K178" s="250">
        <f t="shared" si="19"/>
        <v>4930348.5</v>
      </c>
      <c r="L178" s="30">
        <f t="shared" si="20"/>
        <v>13201.650000000001</v>
      </c>
      <c r="M178" s="254" t="s">
        <v>369</v>
      </c>
      <c r="N178" s="254" t="s">
        <v>381</v>
      </c>
      <c r="O178" s="256"/>
      <c r="P178" s="46" t="s">
        <v>370</v>
      </c>
      <c r="Q178" s="22"/>
    </row>
    <row r="179" spans="1:29" ht="18">
      <c r="A179" s="256">
        <v>127</v>
      </c>
      <c r="B179" s="257">
        <v>8</v>
      </c>
      <c r="C179" s="258" t="s">
        <v>382</v>
      </c>
      <c r="D179" s="253" t="s">
        <v>368</v>
      </c>
      <c r="E179" s="231" t="s">
        <v>220</v>
      </c>
      <c r="F179" s="231">
        <v>90</v>
      </c>
      <c r="G179" s="250">
        <v>44100</v>
      </c>
      <c r="H179" s="250">
        <f t="shared" si="18"/>
        <v>3969000</v>
      </c>
      <c r="I179" s="250">
        <v>90</v>
      </c>
      <c r="J179" s="250">
        <v>57711.15</v>
      </c>
      <c r="K179" s="250">
        <f t="shared" si="19"/>
        <v>5194003.5</v>
      </c>
      <c r="L179" s="30">
        <f t="shared" si="20"/>
        <v>13611.150000000001</v>
      </c>
      <c r="M179" s="254" t="s">
        <v>369</v>
      </c>
      <c r="N179" s="254" t="s">
        <v>383</v>
      </c>
      <c r="O179" s="256"/>
      <c r="P179" s="46" t="s">
        <v>370</v>
      </c>
      <c r="Q179" s="22"/>
    </row>
    <row r="180" spans="1:29" s="73" customFormat="1" ht="18">
      <c r="A180" s="256">
        <v>128</v>
      </c>
      <c r="B180" s="251">
        <v>9</v>
      </c>
      <c r="C180" s="258" t="s">
        <v>384</v>
      </c>
      <c r="D180" s="253" t="s">
        <v>368</v>
      </c>
      <c r="E180" s="231" t="s">
        <v>220</v>
      </c>
      <c r="F180" s="231">
        <v>90</v>
      </c>
      <c r="G180" s="250">
        <v>38010</v>
      </c>
      <c r="H180" s="250">
        <f t="shared" si="18"/>
        <v>3420900</v>
      </c>
      <c r="I180" s="250">
        <v>90</v>
      </c>
      <c r="J180" s="250">
        <v>49899.15</v>
      </c>
      <c r="K180" s="250">
        <f t="shared" si="19"/>
        <v>4490923.5</v>
      </c>
      <c r="L180" s="30">
        <f t="shared" si="20"/>
        <v>11889.150000000001</v>
      </c>
      <c r="M180" s="254" t="s">
        <v>369</v>
      </c>
      <c r="N180" s="254" t="s">
        <v>385</v>
      </c>
      <c r="O180" s="256"/>
      <c r="P180" s="46" t="s">
        <v>370</v>
      </c>
      <c r="Q180" s="22"/>
      <c r="R180" s="1024"/>
      <c r="S180" s="75"/>
      <c r="T180" s="71"/>
      <c r="U180" s="71"/>
      <c r="V180" s="71"/>
      <c r="W180" s="71"/>
      <c r="X180" s="71"/>
      <c r="Y180" s="71"/>
      <c r="Z180" s="71"/>
      <c r="AA180" s="71"/>
      <c r="AB180" s="71"/>
      <c r="AC180" s="71"/>
    </row>
    <row r="181" spans="1:29" s="73" customFormat="1" ht="18">
      <c r="A181" s="256">
        <v>129</v>
      </c>
      <c r="B181" s="257">
        <v>10</v>
      </c>
      <c r="C181" s="258" t="s">
        <v>386</v>
      </c>
      <c r="D181" s="253" t="s">
        <v>368</v>
      </c>
      <c r="E181" s="231" t="s">
        <v>220</v>
      </c>
      <c r="F181" s="231">
        <v>90</v>
      </c>
      <c r="G181" s="250">
        <v>36960</v>
      </c>
      <c r="H181" s="250">
        <f t="shared" si="18"/>
        <v>3326400</v>
      </c>
      <c r="I181" s="250">
        <v>90</v>
      </c>
      <c r="J181" s="250">
        <v>48434.400000000001</v>
      </c>
      <c r="K181" s="250">
        <f t="shared" si="19"/>
        <v>4359096</v>
      </c>
      <c r="L181" s="30">
        <f t="shared" si="20"/>
        <v>11474.400000000001</v>
      </c>
      <c r="M181" s="254" t="s">
        <v>369</v>
      </c>
      <c r="N181" s="254" t="s">
        <v>387</v>
      </c>
      <c r="O181" s="256"/>
      <c r="P181" s="46" t="s">
        <v>370</v>
      </c>
      <c r="Q181" s="22"/>
      <c r="R181" s="1024"/>
      <c r="S181" s="75"/>
      <c r="T181" s="71"/>
      <c r="U181" s="71"/>
      <c r="V181" s="71"/>
      <c r="W181" s="71"/>
      <c r="X181" s="71"/>
      <c r="Y181" s="71"/>
      <c r="Z181" s="71"/>
      <c r="AA181" s="71"/>
      <c r="AB181" s="71"/>
      <c r="AC181" s="71"/>
    </row>
    <row r="182" spans="1:29" s="73" customFormat="1" ht="18">
      <c r="A182" s="256">
        <v>130</v>
      </c>
      <c r="B182" s="251">
        <v>11</v>
      </c>
      <c r="C182" s="258" t="s">
        <v>388</v>
      </c>
      <c r="D182" s="253" t="s">
        <v>368</v>
      </c>
      <c r="E182" s="231" t="s">
        <v>220</v>
      </c>
      <c r="F182" s="231">
        <v>90</v>
      </c>
      <c r="G182" s="250">
        <v>38010</v>
      </c>
      <c r="H182" s="250">
        <f t="shared" si="18"/>
        <v>3420900</v>
      </c>
      <c r="I182" s="250">
        <v>90</v>
      </c>
      <c r="J182" s="250">
        <v>49703.850000000006</v>
      </c>
      <c r="K182" s="250">
        <f t="shared" si="19"/>
        <v>4473346.5000000009</v>
      </c>
      <c r="L182" s="30">
        <f t="shared" si="20"/>
        <v>11693.850000000006</v>
      </c>
      <c r="M182" s="254" t="s">
        <v>369</v>
      </c>
      <c r="N182" s="254" t="s">
        <v>389</v>
      </c>
      <c r="O182" s="256"/>
      <c r="P182" s="46" t="s">
        <v>370</v>
      </c>
      <c r="Q182" s="22"/>
      <c r="R182" s="1024"/>
      <c r="S182" s="75"/>
      <c r="T182" s="71"/>
      <c r="U182" s="71"/>
      <c r="V182" s="71"/>
      <c r="W182" s="71"/>
      <c r="X182" s="71"/>
      <c r="Y182" s="71"/>
      <c r="Z182" s="71"/>
      <c r="AA182" s="71"/>
      <c r="AB182" s="71"/>
      <c r="AC182" s="71"/>
    </row>
    <row r="183" spans="1:29" s="73" customFormat="1" ht="18">
      <c r="A183" s="256">
        <v>131</v>
      </c>
      <c r="B183" s="257">
        <v>12</v>
      </c>
      <c r="C183" s="258" t="s">
        <v>390</v>
      </c>
      <c r="D183" s="253" t="s">
        <v>368</v>
      </c>
      <c r="E183" s="231" t="s">
        <v>220</v>
      </c>
      <c r="F183" s="231">
        <v>90</v>
      </c>
      <c r="G183" s="250">
        <v>43050</v>
      </c>
      <c r="H183" s="250">
        <f t="shared" si="18"/>
        <v>3874500</v>
      </c>
      <c r="I183" s="250">
        <v>90</v>
      </c>
      <c r="J183" s="250">
        <v>55758.15</v>
      </c>
      <c r="K183" s="250">
        <f t="shared" si="19"/>
        <v>5018233.5</v>
      </c>
      <c r="L183" s="30">
        <f t="shared" si="20"/>
        <v>12708.150000000001</v>
      </c>
      <c r="M183" s="254" t="s">
        <v>369</v>
      </c>
      <c r="N183" s="254" t="s">
        <v>391</v>
      </c>
      <c r="O183" s="256"/>
      <c r="P183" s="46" t="s">
        <v>370</v>
      </c>
      <c r="Q183" s="22"/>
      <c r="R183" s="1024"/>
      <c r="S183" s="75"/>
      <c r="T183" s="71"/>
      <c r="U183" s="71"/>
      <c r="V183" s="71"/>
      <c r="W183" s="71"/>
      <c r="X183" s="71"/>
      <c r="Y183" s="71"/>
      <c r="Z183" s="71"/>
      <c r="AA183" s="71"/>
      <c r="AB183" s="71"/>
      <c r="AC183" s="71"/>
    </row>
    <row r="184" spans="1:29" s="73" customFormat="1" ht="18">
      <c r="A184" s="256">
        <v>132</v>
      </c>
      <c r="B184" s="251">
        <v>13</v>
      </c>
      <c r="C184" s="258" t="s">
        <v>392</v>
      </c>
      <c r="D184" s="253" t="s">
        <v>368</v>
      </c>
      <c r="E184" s="231" t="s">
        <v>220</v>
      </c>
      <c r="F184" s="231">
        <v>90</v>
      </c>
      <c r="G184" s="250">
        <v>27300</v>
      </c>
      <c r="H184" s="250">
        <f t="shared" si="18"/>
        <v>2457000</v>
      </c>
      <c r="I184" s="250">
        <v>90</v>
      </c>
      <c r="J184" s="250">
        <v>34832.699999999997</v>
      </c>
      <c r="K184" s="250">
        <f t="shared" si="19"/>
        <v>3134942.9999999995</v>
      </c>
      <c r="L184" s="30">
        <f t="shared" si="20"/>
        <v>7532.6999999999971</v>
      </c>
      <c r="M184" s="254" t="s">
        <v>369</v>
      </c>
      <c r="N184" s="254" t="s">
        <v>393</v>
      </c>
      <c r="O184" s="256"/>
      <c r="P184" s="46" t="s">
        <v>370</v>
      </c>
      <c r="Q184" s="22"/>
      <c r="R184" s="1024"/>
      <c r="S184" s="75"/>
      <c r="T184" s="71"/>
      <c r="U184" s="71"/>
      <c r="V184" s="71"/>
      <c r="W184" s="71"/>
      <c r="X184" s="71"/>
      <c r="Y184" s="71"/>
      <c r="Z184" s="71"/>
      <c r="AA184" s="71"/>
      <c r="AB184" s="71"/>
      <c r="AC184" s="71"/>
    </row>
    <row r="185" spans="1:29" s="73" customFormat="1" ht="18">
      <c r="A185" s="256">
        <v>133</v>
      </c>
      <c r="B185" s="257">
        <v>14</v>
      </c>
      <c r="C185" s="258" t="s">
        <v>394</v>
      </c>
      <c r="D185" s="253" t="s">
        <v>368</v>
      </c>
      <c r="E185" s="231" t="s">
        <v>220</v>
      </c>
      <c r="F185" s="231">
        <v>60</v>
      </c>
      <c r="G185" s="250">
        <v>27300</v>
      </c>
      <c r="H185" s="250">
        <f t="shared" si="18"/>
        <v>1638000</v>
      </c>
      <c r="I185" s="250">
        <v>60</v>
      </c>
      <c r="J185" s="250">
        <v>34832.699999999997</v>
      </c>
      <c r="K185" s="250">
        <f t="shared" si="19"/>
        <v>2089961.9999999998</v>
      </c>
      <c r="L185" s="30">
        <f t="shared" si="20"/>
        <v>7532.6999999999971</v>
      </c>
      <c r="M185" s="254" t="s">
        <v>369</v>
      </c>
      <c r="N185" s="254" t="s">
        <v>395</v>
      </c>
      <c r="O185" s="256"/>
      <c r="P185" s="46" t="s">
        <v>370</v>
      </c>
      <c r="Q185" s="22"/>
      <c r="R185" s="1024"/>
      <c r="S185" s="75"/>
      <c r="T185" s="71"/>
      <c r="U185" s="71"/>
      <c r="V185" s="71"/>
      <c r="W185" s="71"/>
      <c r="X185" s="71"/>
      <c r="Y185" s="71"/>
      <c r="Z185" s="71"/>
      <c r="AA185" s="71"/>
      <c r="AB185" s="71"/>
      <c r="AC185" s="71"/>
    </row>
    <row r="186" spans="1:29" s="73" customFormat="1" ht="18">
      <c r="A186" s="256">
        <v>134</v>
      </c>
      <c r="B186" s="251">
        <v>15</v>
      </c>
      <c r="C186" s="258" t="s">
        <v>396</v>
      </c>
      <c r="D186" s="253" t="s">
        <v>368</v>
      </c>
      <c r="E186" s="231" t="s">
        <v>220</v>
      </c>
      <c r="F186" s="231">
        <v>60</v>
      </c>
      <c r="G186" s="250">
        <v>23625</v>
      </c>
      <c r="H186" s="250">
        <f t="shared" si="18"/>
        <v>1417500</v>
      </c>
      <c r="I186" s="250">
        <v>60</v>
      </c>
      <c r="J186" s="250">
        <v>30453.149999999998</v>
      </c>
      <c r="K186" s="250">
        <f t="shared" si="19"/>
        <v>1827188.9999999998</v>
      </c>
      <c r="L186" s="30">
        <f t="shared" si="20"/>
        <v>6828.1499999999978</v>
      </c>
      <c r="M186" s="254" t="s">
        <v>369</v>
      </c>
      <c r="N186" s="254" t="s">
        <v>397</v>
      </c>
      <c r="O186" s="256"/>
      <c r="P186" s="46" t="s">
        <v>370</v>
      </c>
      <c r="Q186" s="22"/>
      <c r="R186" s="1024"/>
      <c r="S186" s="75"/>
      <c r="T186" s="71"/>
      <c r="U186" s="71"/>
      <c r="V186" s="71"/>
      <c r="W186" s="71"/>
      <c r="X186" s="71"/>
      <c r="Y186" s="71"/>
      <c r="Z186" s="71"/>
      <c r="AA186" s="71"/>
      <c r="AB186" s="71"/>
      <c r="AC186" s="71"/>
    </row>
    <row r="187" spans="1:29" s="73" customFormat="1" ht="18">
      <c r="A187" s="256">
        <v>135</v>
      </c>
      <c r="B187" s="257">
        <v>16</v>
      </c>
      <c r="C187" s="258" t="s">
        <v>398</v>
      </c>
      <c r="D187" s="253" t="s">
        <v>368</v>
      </c>
      <c r="E187" s="231" t="s">
        <v>220</v>
      </c>
      <c r="F187" s="231">
        <v>60</v>
      </c>
      <c r="G187" s="250">
        <v>23100</v>
      </c>
      <c r="H187" s="250">
        <f t="shared" si="18"/>
        <v>1386000</v>
      </c>
      <c r="I187" s="250">
        <v>60</v>
      </c>
      <c r="J187" s="250">
        <v>29332.799999999999</v>
      </c>
      <c r="K187" s="250">
        <f t="shared" si="19"/>
        <v>1759968</v>
      </c>
      <c r="L187" s="30">
        <f t="shared" si="20"/>
        <v>6232.7999999999993</v>
      </c>
      <c r="M187" s="254" t="s">
        <v>369</v>
      </c>
      <c r="N187" s="254" t="s">
        <v>399</v>
      </c>
      <c r="O187" s="256"/>
      <c r="P187" s="46" t="s">
        <v>370</v>
      </c>
      <c r="Q187" s="22"/>
      <c r="R187" s="1024"/>
      <c r="S187" s="75"/>
      <c r="T187" s="71"/>
      <c r="U187" s="71"/>
      <c r="V187" s="71"/>
      <c r="W187" s="71"/>
      <c r="X187" s="71"/>
      <c r="Y187" s="71"/>
      <c r="Z187" s="71"/>
      <c r="AA187" s="71"/>
      <c r="AB187" s="71"/>
      <c r="AC187" s="71"/>
    </row>
    <row r="188" spans="1:29" s="73" customFormat="1" ht="18">
      <c r="A188" s="256">
        <v>136</v>
      </c>
      <c r="B188" s="251">
        <v>17</v>
      </c>
      <c r="C188" s="258" t="s">
        <v>400</v>
      </c>
      <c r="D188" s="253" t="s">
        <v>368</v>
      </c>
      <c r="E188" s="231" t="s">
        <v>220</v>
      </c>
      <c r="F188" s="231">
        <v>60</v>
      </c>
      <c r="G188" s="250">
        <v>22260</v>
      </c>
      <c r="H188" s="250">
        <f t="shared" si="18"/>
        <v>1335600</v>
      </c>
      <c r="I188" s="250">
        <v>60</v>
      </c>
      <c r="J188" s="250">
        <v>28619.85</v>
      </c>
      <c r="K188" s="250">
        <f t="shared" si="19"/>
        <v>1717191</v>
      </c>
      <c r="L188" s="30">
        <f t="shared" si="20"/>
        <v>6359.8499999999985</v>
      </c>
      <c r="M188" s="254" t="s">
        <v>369</v>
      </c>
      <c r="N188" s="254" t="s">
        <v>401</v>
      </c>
      <c r="O188" s="256"/>
      <c r="P188" s="46" t="s">
        <v>370</v>
      </c>
      <c r="Q188" s="22"/>
      <c r="R188" s="1024"/>
      <c r="S188" s="75"/>
      <c r="T188" s="71"/>
      <c r="U188" s="71"/>
      <c r="V188" s="71"/>
      <c r="W188" s="71"/>
      <c r="X188" s="71"/>
      <c r="Y188" s="71"/>
      <c r="Z188" s="71"/>
      <c r="AA188" s="71"/>
      <c r="AB188" s="71"/>
      <c r="AC188" s="71"/>
    </row>
    <row r="189" spans="1:29" s="73" customFormat="1" ht="18">
      <c r="A189" s="256">
        <v>137</v>
      </c>
      <c r="B189" s="257">
        <v>18</v>
      </c>
      <c r="C189" s="258" t="s">
        <v>402</v>
      </c>
      <c r="D189" s="253" t="s">
        <v>368</v>
      </c>
      <c r="E189" s="231" t="s">
        <v>220</v>
      </c>
      <c r="F189" s="231">
        <v>60</v>
      </c>
      <c r="G189" s="250">
        <v>22260</v>
      </c>
      <c r="H189" s="250">
        <f t="shared" si="18"/>
        <v>1335600</v>
      </c>
      <c r="I189" s="250">
        <v>60</v>
      </c>
      <c r="J189" s="250">
        <v>28619.85</v>
      </c>
      <c r="K189" s="250">
        <f t="shared" si="19"/>
        <v>1717191</v>
      </c>
      <c r="L189" s="30">
        <f t="shared" si="20"/>
        <v>6359.8499999999985</v>
      </c>
      <c r="M189" s="254" t="s">
        <v>369</v>
      </c>
      <c r="N189" s="254" t="s">
        <v>403</v>
      </c>
      <c r="O189" s="256"/>
      <c r="P189" s="46" t="s">
        <v>370</v>
      </c>
      <c r="Q189" s="22"/>
      <c r="R189" s="1024"/>
      <c r="S189" s="75"/>
      <c r="T189" s="71"/>
      <c r="U189" s="71"/>
      <c r="V189" s="71"/>
      <c r="W189" s="71"/>
      <c r="X189" s="71"/>
      <c r="Y189" s="71"/>
      <c r="Z189" s="71"/>
      <c r="AA189" s="71"/>
      <c r="AB189" s="71"/>
      <c r="AC189" s="71"/>
    </row>
    <row r="190" spans="1:29" s="73" customFormat="1" ht="18">
      <c r="A190" s="256">
        <v>138</v>
      </c>
      <c r="B190" s="251">
        <v>19</v>
      </c>
      <c r="C190" s="258" t="s">
        <v>404</v>
      </c>
      <c r="D190" s="253" t="s">
        <v>368</v>
      </c>
      <c r="E190" s="231" t="s">
        <v>220</v>
      </c>
      <c r="F190" s="231">
        <v>60</v>
      </c>
      <c r="G190" s="250">
        <v>16590</v>
      </c>
      <c r="H190" s="250">
        <f t="shared" si="18"/>
        <v>995400</v>
      </c>
      <c r="I190" s="250">
        <v>60</v>
      </c>
      <c r="J190" s="250">
        <v>21602.385000000002</v>
      </c>
      <c r="K190" s="250">
        <f t="shared" si="19"/>
        <v>1296143.1000000001</v>
      </c>
      <c r="L190" s="30">
        <f t="shared" si="20"/>
        <v>5012.385000000002</v>
      </c>
      <c r="M190" s="254" t="s">
        <v>369</v>
      </c>
      <c r="N190" s="254" t="s">
        <v>405</v>
      </c>
      <c r="O190" s="256"/>
      <c r="P190" s="46" t="s">
        <v>370</v>
      </c>
      <c r="Q190" s="22"/>
      <c r="R190" s="1024"/>
      <c r="S190" s="75"/>
      <c r="T190" s="71"/>
      <c r="U190" s="71"/>
      <c r="V190" s="71"/>
      <c r="W190" s="71"/>
      <c r="X190" s="71"/>
      <c r="Y190" s="71"/>
      <c r="Z190" s="71"/>
      <c r="AA190" s="71"/>
      <c r="AB190" s="71"/>
      <c r="AC190" s="71"/>
    </row>
    <row r="191" spans="1:29" s="73" customFormat="1" ht="18">
      <c r="A191" s="256">
        <v>139</v>
      </c>
      <c r="B191" s="257">
        <v>20</v>
      </c>
      <c r="C191" s="258" t="s">
        <v>406</v>
      </c>
      <c r="D191" s="253" t="s">
        <v>368</v>
      </c>
      <c r="E191" s="231" t="s">
        <v>220</v>
      </c>
      <c r="F191" s="231">
        <v>60</v>
      </c>
      <c r="G191" s="250">
        <v>16800</v>
      </c>
      <c r="H191" s="250">
        <f t="shared" si="18"/>
        <v>1008000</v>
      </c>
      <c r="I191" s="250">
        <v>60</v>
      </c>
      <c r="J191" s="250">
        <v>21602.385000000002</v>
      </c>
      <c r="K191" s="250">
        <f t="shared" si="19"/>
        <v>1296143.1000000001</v>
      </c>
      <c r="L191" s="30">
        <f t="shared" si="20"/>
        <v>4802.385000000002</v>
      </c>
      <c r="M191" s="254" t="s">
        <v>369</v>
      </c>
      <c r="N191" s="254" t="s">
        <v>407</v>
      </c>
      <c r="O191" s="256"/>
      <c r="P191" s="46" t="s">
        <v>370</v>
      </c>
      <c r="Q191" s="22"/>
      <c r="R191" s="1024"/>
      <c r="S191" s="75"/>
      <c r="T191" s="71"/>
      <c r="U191" s="71"/>
      <c r="V191" s="71"/>
      <c r="W191" s="71"/>
      <c r="X191" s="71"/>
      <c r="Y191" s="71"/>
      <c r="Z191" s="71"/>
      <c r="AA191" s="71"/>
      <c r="AB191" s="71"/>
      <c r="AC191" s="71"/>
    </row>
    <row r="192" spans="1:29" s="73" customFormat="1" ht="18">
      <c r="A192" s="256">
        <v>140</v>
      </c>
      <c r="B192" s="251">
        <v>21</v>
      </c>
      <c r="C192" s="258" t="s">
        <v>408</v>
      </c>
      <c r="D192" s="253" t="s">
        <v>368</v>
      </c>
      <c r="E192" s="231" t="s">
        <v>220</v>
      </c>
      <c r="F192" s="231">
        <v>240</v>
      </c>
      <c r="G192" s="250">
        <v>16800</v>
      </c>
      <c r="H192" s="250">
        <f t="shared" si="18"/>
        <v>4032000</v>
      </c>
      <c r="I192" s="250">
        <v>240</v>
      </c>
      <c r="J192" s="250">
        <v>21602.385000000002</v>
      </c>
      <c r="K192" s="250">
        <f t="shared" si="19"/>
        <v>5184572.4000000004</v>
      </c>
      <c r="L192" s="30">
        <f t="shared" si="20"/>
        <v>4802.385000000002</v>
      </c>
      <c r="M192" s="254" t="s">
        <v>369</v>
      </c>
      <c r="N192" s="254" t="s">
        <v>409</v>
      </c>
      <c r="O192" s="256"/>
      <c r="P192" s="46" t="s">
        <v>370</v>
      </c>
      <c r="Q192" s="22"/>
      <c r="R192" s="1024"/>
      <c r="S192" s="75"/>
      <c r="T192" s="71"/>
      <c r="U192" s="71"/>
      <c r="V192" s="71"/>
      <c r="W192" s="71"/>
      <c r="X192" s="71"/>
      <c r="Y192" s="71"/>
      <c r="Z192" s="71"/>
      <c r="AA192" s="71"/>
      <c r="AB192" s="71"/>
      <c r="AC192" s="71"/>
    </row>
    <row r="193" spans="1:31" s="73" customFormat="1" ht="18">
      <c r="A193" s="256">
        <v>141</v>
      </c>
      <c r="B193" s="257">
        <v>22</v>
      </c>
      <c r="C193" s="258" t="s">
        <v>410</v>
      </c>
      <c r="D193" s="253" t="s">
        <v>368</v>
      </c>
      <c r="E193" s="231" t="s">
        <v>220</v>
      </c>
      <c r="F193" s="231">
        <v>240</v>
      </c>
      <c r="G193" s="250">
        <v>16800</v>
      </c>
      <c r="H193" s="250">
        <f t="shared" si="18"/>
        <v>4032000</v>
      </c>
      <c r="I193" s="250">
        <v>240</v>
      </c>
      <c r="J193" s="250">
        <v>21602.385000000002</v>
      </c>
      <c r="K193" s="250">
        <f t="shared" si="19"/>
        <v>5184572.4000000004</v>
      </c>
      <c r="L193" s="30">
        <f t="shared" si="20"/>
        <v>4802.385000000002</v>
      </c>
      <c r="M193" s="254" t="s">
        <v>369</v>
      </c>
      <c r="N193" s="254" t="s">
        <v>411</v>
      </c>
      <c r="O193" s="256"/>
      <c r="P193" s="46" t="s">
        <v>370</v>
      </c>
      <c r="Q193" s="22"/>
      <c r="R193" s="1024"/>
      <c r="S193" s="75"/>
      <c r="T193" s="71"/>
      <c r="U193" s="71"/>
      <c r="V193" s="71"/>
      <c r="W193" s="71"/>
      <c r="X193" s="71"/>
      <c r="Y193" s="71"/>
      <c r="Z193" s="71"/>
      <c r="AA193" s="71"/>
      <c r="AB193" s="71"/>
      <c r="AC193" s="71"/>
    </row>
    <row r="194" spans="1:31" s="73" customFormat="1" ht="18">
      <c r="A194" s="256">
        <v>142</v>
      </c>
      <c r="B194" s="251">
        <v>23</v>
      </c>
      <c r="C194" s="258" t="s">
        <v>412</v>
      </c>
      <c r="D194" s="253" t="s">
        <v>368</v>
      </c>
      <c r="E194" s="231" t="s">
        <v>220</v>
      </c>
      <c r="F194" s="231">
        <v>60</v>
      </c>
      <c r="G194" s="250">
        <v>16800</v>
      </c>
      <c r="H194" s="250">
        <f t="shared" si="18"/>
        <v>1008000</v>
      </c>
      <c r="I194" s="250">
        <v>60</v>
      </c>
      <c r="J194" s="250">
        <v>21602.385000000002</v>
      </c>
      <c r="K194" s="250">
        <f t="shared" si="19"/>
        <v>1296143.1000000001</v>
      </c>
      <c r="L194" s="30">
        <f t="shared" si="20"/>
        <v>4802.385000000002</v>
      </c>
      <c r="M194" s="254" t="s">
        <v>369</v>
      </c>
      <c r="N194" s="254" t="s">
        <v>413</v>
      </c>
      <c r="O194" s="256"/>
      <c r="P194" s="46" t="s">
        <v>370</v>
      </c>
      <c r="Q194" s="22"/>
      <c r="R194" s="1024"/>
      <c r="S194" s="75"/>
      <c r="T194" s="71"/>
      <c r="U194" s="71"/>
      <c r="V194" s="71"/>
      <c r="W194" s="71"/>
      <c r="X194" s="71"/>
      <c r="Y194" s="71"/>
      <c r="Z194" s="71"/>
      <c r="AA194" s="71"/>
      <c r="AB194" s="71"/>
      <c r="AC194" s="71"/>
    </row>
    <row r="195" spans="1:31" s="73" customFormat="1" ht="18">
      <c r="A195" s="256">
        <v>143</v>
      </c>
      <c r="B195" s="257">
        <v>24</v>
      </c>
      <c r="C195" s="258" t="s">
        <v>414</v>
      </c>
      <c r="D195" s="253" t="s">
        <v>368</v>
      </c>
      <c r="E195" s="231" t="s">
        <v>220</v>
      </c>
      <c r="F195" s="231">
        <v>60</v>
      </c>
      <c r="G195" s="250">
        <v>16800</v>
      </c>
      <c r="H195" s="250">
        <f t="shared" si="18"/>
        <v>1008000</v>
      </c>
      <c r="I195" s="250">
        <v>60</v>
      </c>
      <c r="J195" s="250">
        <v>21602.385000000002</v>
      </c>
      <c r="K195" s="250">
        <f t="shared" si="19"/>
        <v>1296143.1000000001</v>
      </c>
      <c r="L195" s="30">
        <f t="shared" si="20"/>
        <v>4802.385000000002</v>
      </c>
      <c r="M195" s="254" t="s">
        <v>369</v>
      </c>
      <c r="N195" s="254" t="s">
        <v>415</v>
      </c>
      <c r="O195" s="256"/>
      <c r="P195" s="46" t="s">
        <v>370</v>
      </c>
      <c r="Q195" s="22"/>
      <c r="R195" s="1024"/>
      <c r="S195" s="75"/>
      <c r="T195" s="71"/>
      <c r="U195" s="71"/>
      <c r="V195" s="71"/>
      <c r="W195" s="71"/>
      <c r="X195" s="71"/>
      <c r="Y195" s="71"/>
      <c r="Z195" s="71"/>
      <c r="AA195" s="71"/>
      <c r="AB195" s="71"/>
      <c r="AC195" s="71"/>
    </row>
    <row r="196" spans="1:31" ht="18">
      <c r="A196" s="256">
        <v>144</v>
      </c>
      <c r="B196" s="251">
        <v>25</v>
      </c>
      <c r="C196" s="258" t="s">
        <v>416</v>
      </c>
      <c r="D196" s="253" t="s">
        <v>368</v>
      </c>
      <c r="E196" s="231" t="s">
        <v>220</v>
      </c>
      <c r="F196" s="231">
        <v>60</v>
      </c>
      <c r="G196" s="250">
        <v>19530</v>
      </c>
      <c r="H196" s="250">
        <f t="shared" si="18"/>
        <v>1171800</v>
      </c>
      <c r="I196" s="250">
        <v>60</v>
      </c>
      <c r="J196" s="250">
        <v>25559.2575</v>
      </c>
      <c r="K196" s="250">
        <f t="shared" si="19"/>
        <v>1533555.45</v>
      </c>
      <c r="L196" s="30">
        <f t="shared" si="20"/>
        <v>6029.2574999999997</v>
      </c>
      <c r="M196" s="254" t="s">
        <v>369</v>
      </c>
      <c r="N196" s="254" t="s">
        <v>417</v>
      </c>
      <c r="O196" s="256"/>
      <c r="P196" s="46" t="s">
        <v>370</v>
      </c>
      <c r="Q196" s="22"/>
    </row>
    <row r="197" spans="1:31" ht="18">
      <c r="A197" s="256">
        <v>145</v>
      </c>
      <c r="B197" s="257">
        <v>26</v>
      </c>
      <c r="C197" s="258" t="s">
        <v>418</v>
      </c>
      <c r="D197" s="253" t="s">
        <v>368</v>
      </c>
      <c r="E197" s="231" t="s">
        <v>220</v>
      </c>
      <c r="F197" s="231">
        <v>60</v>
      </c>
      <c r="G197" s="250">
        <v>126000</v>
      </c>
      <c r="H197" s="250">
        <f t="shared" si="18"/>
        <v>7560000</v>
      </c>
      <c r="I197" s="250">
        <v>60</v>
      </c>
      <c r="J197" s="250">
        <v>171108</v>
      </c>
      <c r="K197" s="250">
        <f t="shared" si="19"/>
        <v>10266480</v>
      </c>
      <c r="L197" s="30">
        <f t="shared" si="20"/>
        <v>45108</v>
      </c>
      <c r="M197" s="254" t="s">
        <v>369</v>
      </c>
      <c r="N197" s="254" t="s">
        <v>419</v>
      </c>
      <c r="O197" s="256"/>
      <c r="P197" s="46" t="s">
        <v>370</v>
      </c>
      <c r="Q197" s="22"/>
    </row>
    <row r="198" spans="1:31" ht="18">
      <c r="A198" s="256">
        <v>146</v>
      </c>
      <c r="B198" s="251">
        <v>27</v>
      </c>
      <c r="C198" s="259" t="s">
        <v>420</v>
      </c>
      <c r="D198" s="253" t="s">
        <v>368</v>
      </c>
      <c r="E198" s="260" t="s">
        <v>220</v>
      </c>
      <c r="F198" s="231">
        <v>60</v>
      </c>
      <c r="G198" s="261">
        <v>126000</v>
      </c>
      <c r="H198" s="250">
        <f t="shared" si="18"/>
        <v>7560000</v>
      </c>
      <c r="I198" s="250">
        <v>60</v>
      </c>
      <c r="J198" s="250">
        <v>171108</v>
      </c>
      <c r="K198" s="250">
        <f t="shared" si="19"/>
        <v>10266480</v>
      </c>
      <c r="L198" s="30">
        <f t="shared" si="20"/>
        <v>45108</v>
      </c>
      <c r="M198" s="254" t="s">
        <v>369</v>
      </c>
      <c r="N198" s="254" t="s">
        <v>421</v>
      </c>
      <c r="O198" s="262"/>
      <c r="P198" s="46" t="s">
        <v>370</v>
      </c>
      <c r="Q198" s="22"/>
    </row>
    <row r="199" spans="1:31" ht="18">
      <c r="A199" s="256">
        <v>147</v>
      </c>
      <c r="B199" s="257">
        <v>28</v>
      </c>
      <c r="C199" s="263" t="s">
        <v>422</v>
      </c>
      <c r="D199" s="253" t="s">
        <v>423</v>
      </c>
      <c r="E199" s="260" t="s">
        <v>424</v>
      </c>
      <c r="F199" s="231">
        <v>50</v>
      </c>
      <c r="G199" s="261">
        <v>22050</v>
      </c>
      <c r="H199" s="250">
        <f t="shared" si="18"/>
        <v>1102500</v>
      </c>
      <c r="I199" s="250">
        <v>50</v>
      </c>
      <c r="J199" s="250">
        <v>28069.65</v>
      </c>
      <c r="K199" s="250">
        <f t="shared" si="19"/>
        <v>1403482.5</v>
      </c>
      <c r="L199" s="30">
        <f t="shared" si="20"/>
        <v>6019.6500000000015</v>
      </c>
      <c r="M199" s="254" t="s">
        <v>369</v>
      </c>
      <c r="N199" s="254" t="s">
        <v>425</v>
      </c>
      <c r="O199" s="262"/>
      <c r="P199" s="46" t="s">
        <v>370</v>
      </c>
      <c r="Q199" s="22"/>
    </row>
    <row r="200" spans="1:31" ht="18">
      <c r="A200" s="256">
        <v>148</v>
      </c>
      <c r="B200" s="251">
        <v>29</v>
      </c>
      <c r="C200" s="264" t="s">
        <v>426</v>
      </c>
      <c r="D200" s="253" t="s">
        <v>427</v>
      </c>
      <c r="E200" s="260" t="s">
        <v>424</v>
      </c>
      <c r="F200" s="231">
        <v>5</v>
      </c>
      <c r="G200" s="261">
        <v>315000</v>
      </c>
      <c r="H200" s="250">
        <f t="shared" si="18"/>
        <v>1575000</v>
      </c>
      <c r="I200" s="250">
        <v>5</v>
      </c>
      <c r="J200" s="250">
        <v>427329</v>
      </c>
      <c r="K200" s="250">
        <f t="shared" si="19"/>
        <v>2136645</v>
      </c>
      <c r="L200" s="30">
        <f t="shared" si="20"/>
        <v>112329</v>
      </c>
      <c r="M200" s="254" t="s">
        <v>369</v>
      </c>
      <c r="N200" s="254" t="s">
        <v>428</v>
      </c>
      <c r="O200" s="262"/>
      <c r="P200" s="46" t="s">
        <v>370</v>
      </c>
      <c r="Q200" s="22"/>
    </row>
    <row r="201" spans="1:31" ht="18">
      <c r="A201" s="256">
        <v>149</v>
      </c>
      <c r="B201" s="257">
        <v>30</v>
      </c>
      <c r="C201" s="264" t="s">
        <v>429</v>
      </c>
      <c r="D201" s="253" t="s">
        <v>427</v>
      </c>
      <c r="E201" s="260" t="s">
        <v>424</v>
      </c>
      <c r="F201" s="231">
        <v>5</v>
      </c>
      <c r="G201" s="261">
        <v>378000</v>
      </c>
      <c r="H201" s="250">
        <f t="shared" si="18"/>
        <v>1890000</v>
      </c>
      <c r="I201" s="250">
        <v>5</v>
      </c>
      <c r="J201" s="250">
        <v>523687.5</v>
      </c>
      <c r="K201" s="250">
        <f t="shared" si="19"/>
        <v>2618437.5</v>
      </c>
      <c r="L201" s="30">
        <f t="shared" si="20"/>
        <v>145687.5</v>
      </c>
      <c r="M201" s="254" t="s">
        <v>369</v>
      </c>
      <c r="N201" s="254" t="s">
        <v>430</v>
      </c>
      <c r="O201" s="262"/>
      <c r="P201" s="265" t="s">
        <v>370</v>
      </c>
      <c r="Q201" s="22"/>
    </row>
    <row r="202" spans="1:31">
      <c r="A202" s="266"/>
      <c r="B202" s="266"/>
      <c r="C202" s="267" t="s">
        <v>431</v>
      </c>
      <c r="D202" s="268"/>
      <c r="E202" s="269"/>
      <c r="F202" s="269"/>
      <c r="G202" s="270"/>
      <c r="H202" s="2285">
        <f>SUM(H172:H201)</f>
        <v>96207300</v>
      </c>
      <c r="I202" s="271"/>
      <c r="J202" s="271"/>
      <c r="K202" s="271">
        <f>SUM(K172:K201)</f>
        <v>125867073.14999999</v>
      </c>
      <c r="L202" s="271"/>
      <c r="M202" s="271"/>
      <c r="N202" s="271"/>
      <c r="O202" s="271"/>
      <c r="P202" s="142"/>
      <c r="Q202" s="115"/>
    </row>
    <row r="205" spans="1:31">
      <c r="A205" s="71" t="s">
        <v>432</v>
      </c>
    </row>
    <row r="206" spans="1:31" s="12" customFormat="1" ht="14.45" customHeight="1">
      <c r="A206" s="2092" t="s">
        <v>5</v>
      </c>
      <c r="B206" s="2092" t="s">
        <v>6</v>
      </c>
      <c r="C206" s="2094" t="s">
        <v>7</v>
      </c>
      <c r="D206" s="2096" t="s">
        <v>8</v>
      </c>
      <c r="E206" s="2092" t="s">
        <v>9</v>
      </c>
      <c r="F206" s="2098" t="s">
        <v>10</v>
      </c>
      <c r="G206" s="2098"/>
      <c r="H206" s="2098"/>
      <c r="I206" s="2098" t="s">
        <v>11</v>
      </c>
      <c r="J206" s="2098"/>
      <c r="K206" s="2098"/>
      <c r="L206" s="2099" t="s">
        <v>12</v>
      </c>
      <c r="M206" s="9"/>
      <c r="N206" s="9"/>
      <c r="O206" s="9"/>
      <c r="P206" s="2101" t="s">
        <v>13</v>
      </c>
      <c r="Q206" s="2265" t="s">
        <v>4740</v>
      </c>
      <c r="R206" s="2319" t="s">
        <v>4754</v>
      </c>
      <c r="S206" s="2267" t="s">
        <v>4767</v>
      </c>
      <c r="T206" s="2268"/>
      <c r="U206" s="2268"/>
      <c r="V206" s="2268"/>
      <c r="W206" s="2269"/>
      <c r="X206" s="2267" t="s">
        <v>4768</v>
      </c>
      <c r="Y206" s="2268"/>
      <c r="Z206" s="2268"/>
      <c r="AA206" s="2268"/>
      <c r="AB206" s="2268"/>
      <c r="AC206" s="2268"/>
      <c r="AD206" s="2268"/>
      <c r="AE206" s="2269"/>
    </row>
    <row r="207" spans="1:31" s="16" customFormat="1" ht="38.450000000000003" customHeight="1">
      <c r="A207" s="2093"/>
      <c r="B207" s="2093"/>
      <c r="C207" s="2095"/>
      <c r="D207" s="2097"/>
      <c r="E207" s="2093"/>
      <c r="F207" s="13" t="s">
        <v>14</v>
      </c>
      <c r="G207" s="13" t="s">
        <v>15</v>
      </c>
      <c r="H207" s="13" t="s">
        <v>16</v>
      </c>
      <c r="I207" s="13" t="s">
        <v>14</v>
      </c>
      <c r="J207" s="13" t="s">
        <v>15</v>
      </c>
      <c r="K207" s="13" t="s">
        <v>16</v>
      </c>
      <c r="L207" s="2100"/>
      <c r="M207" s="14" t="s">
        <v>17</v>
      </c>
      <c r="N207" s="14" t="s">
        <v>18</v>
      </c>
      <c r="O207" s="14" t="s">
        <v>19</v>
      </c>
      <c r="P207" s="2102"/>
      <c r="Q207" s="2266"/>
      <c r="R207" s="2320"/>
      <c r="S207" s="2263" t="s">
        <v>4755</v>
      </c>
      <c r="T207" s="2263" t="s">
        <v>4756</v>
      </c>
      <c r="U207" s="2263" t="s">
        <v>4757</v>
      </c>
      <c r="V207" s="2263" t="s">
        <v>4758</v>
      </c>
      <c r="W207" s="2263" t="s">
        <v>4759</v>
      </c>
      <c r="X207" s="2264" t="s">
        <v>4760</v>
      </c>
      <c r="Y207" s="2264" t="s">
        <v>4761</v>
      </c>
      <c r="Z207" s="2264" t="s">
        <v>4762</v>
      </c>
      <c r="AA207" s="2264" t="s">
        <v>4763</v>
      </c>
      <c r="AB207" s="2264" t="s">
        <v>4764</v>
      </c>
      <c r="AC207" s="2264" t="s">
        <v>4765</v>
      </c>
      <c r="AD207" s="2264" t="s">
        <v>4766</v>
      </c>
      <c r="AE207" s="2264" t="s">
        <v>4755</v>
      </c>
    </row>
    <row r="208" spans="1:31" s="24" customFormat="1">
      <c r="A208" s="17">
        <v>1</v>
      </c>
      <c r="B208" s="17">
        <v>2</v>
      </c>
      <c r="C208" s="18">
        <v>3</v>
      </c>
      <c r="D208" s="19">
        <v>4</v>
      </c>
      <c r="E208" s="17">
        <v>5</v>
      </c>
      <c r="F208" s="13">
        <v>6</v>
      </c>
      <c r="G208" s="20">
        <v>7</v>
      </c>
      <c r="H208" s="20">
        <v>8</v>
      </c>
      <c r="I208" s="20"/>
      <c r="J208" s="20">
        <v>9</v>
      </c>
      <c r="K208" s="20">
        <v>10</v>
      </c>
      <c r="L208" s="20">
        <v>11</v>
      </c>
      <c r="M208" s="19">
        <v>9</v>
      </c>
      <c r="N208" s="19">
        <v>10</v>
      </c>
      <c r="O208" s="19">
        <v>11</v>
      </c>
      <c r="P208" s="21">
        <v>12</v>
      </c>
      <c r="Q208" s="22"/>
      <c r="R208" s="2321"/>
      <c r="S208" s="23"/>
    </row>
    <row r="209" spans="1:21" ht="18">
      <c r="A209" s="272">
        <v>150</v>
      </c>
      <c r="B209" s="272">
        <v>1</v>
      </c>
      <c r="C209" s="273" t="s">
        <v>433</v>
      </c>
      <c r="D209" s="274" t="s">
        <v>434</v>
      </c>
      <c r="E209" s="274" t="s">
        <v>435</v>
      </c>
      <c r="F209" s="275">
        <v>20</v>
      </c>
      <c r="G209" s="276">
        <v>13530000.000000002</v>
      </c>
      <c r="H209" s="275">
        <f t="shared" ref="H209:H244" si="21">G209*F209</f>
        <v>270600000.00000006</v>
      </c>
      <c r="I209" s="277">
        <v>20</v>
      </c>
      <c r="J209" s="278">
        <v>15060150</v>
      </c>
      <c r="K209" s="278">
        <f>I209*J209</f>
        <v>301203000</v>
      </c>
      <c r="L209" s="279">
        <f t="shared" ref="L209:L244" si="22">J209-G209</f>
        <v>1530149.9999999981</v>
      </c>
      <c r="M209" s="274" t="s">
        <v>436</v>
      </c>
      <c r="N209" s="272"/>
      <c r="O209" s="272">
        <v>1</v>
      </c>
      <c r="P209" s="280" t="s">
        <v>370</v>
      </c>
      <c r="Q209" s="22"/>
      <c r="R209" s="2318">
        <v>15060150</v>
      </c>
      <c r="S209" s="8">
        <v>301203000</v>
      </c>
      <c r="T209" s="281">
        <f t="shared" ref="T209:U244" si="23">R209-G209</f>
        <v>1530149.9999999981</v>
      </c>
      <c r="U209" s="281">
        <f t="shared" si="23"/>
        <v>30602999.99999994</v>
      </c>
    </row>
    <row r="210" spans="1:21" ht="18">
      <c r="A210" s="282">
        <v>151</v>
      </c>
      <c r="B210" s="282">
        <v>2</v>
      </c>
      <c r="C210" s="283" t="s">
        <v>437</v>
      </c>
      <c r="D210" s="284" t="s">
        <v>438</v>
      </c>
      <c r="E210" s="284" t="s">
        <v>439</v>
      </c>
      <c r="F210" s="285">
        <v>20</v>
      </c>
      <c r="G210" s="286">
        <v>11660000.000000002</v>
      </c>
      <c r="H210" s="285">
        <f t="shared" si="21"/>
        <v>233200000.00000003</v>
      </c>
      <c r="I210" s="287">
        <v>20</v>
      </c>
      <c r="J210" s="164">
        <v>13398000.000000002</v>
      </c>
      <c r="K210" s="164">
        <f t="shared" ref="K210:K244" si="24">I210*J210</f>
        <v>267960000.00000003</v>
      </c>
      <c r="L210" s="288">
        <f t="shared" si="22"/>
        <v>1738000</v>
      </c>
      <c r="M210" s="282" t="s">
        <v>440</v>
      </c>
      <c r="N210" s="282"/>
      <c r="O210" s="282">
        <v>1</v>
      </c>
      <c r="P210" s="289" t="s">
        <v>370</v>
      </c>
      <c r="Q210" s="22"/>
      <c r="R210" s="2318">
        <v>13398000.000000002</v>
      </c>
      <c r="S210" s="8">
        <v>267960000.00000003</v>
      </c>
      <c r="T210" s="281">
        <f t="shared" si="23"/>
        <v>1738000</v>
      </c>
      <c r="U210" s="281">
        <f t="shared" si="23"/>
        <v>34760000</v>
      </c>
    </row>
    <row r="211" spans="1:21" ht="18">
      <c r="A211" s="282">
        <v>152</v>
      </c>
      <c r="B211" s="282">
        <v>3</v>
      </c>
      <c r="C211" s="283" t="s">
        <v>441</v>
      </c>
      <c r="D211" s="284" t="s">
        <v>442</v>
      </c>
      <c r="E211" s="284" t="s">
        <v>435</v>
      </c>
      <c r="F211" s="285">
        <v>1</v>
      </c>
      <c r="G211" s="286">
        <v>3102000.0000000005</v>
      </c>
      <c r="H211" s="285">
        <f t="shared" si="21"/>
        <v>3102000.0000000005</v>
      </c>
      <c r="I211" s="287">
        <v>1</v>
      </c>
      <c r="J211" s="164">
        <v>3465000</v>
      </c>
      <c r="K211" s="164">
        <f t="shared" si="24"/>
        <v>3465000</v>
      </c>
      <c r="L211" s="288">
        <f t="shared" si="22"/>
        <v>362999.99999999953</v>
      </c>
      <c r="M211" s="282" t="s">
        <v>440</v>
      </c>
      <c r="N211" s="282"/>
      <c r="O211" s="282">
        <v>1</v>
      </c>
      <c r="P211" s="289" t="s">
        <v>370</v>
      </c>
      <c r="Q211" s="22"/>
      <c r="R211" s="2318">
        <v>3465000</v>
      </c>
      <c r="S211" s="8">
        <v>3465000</v>
      </c>
      <c r="T211" s="281">
        <f t="shared" si="23"/>
        <v>362999.99999999953</v>
      </c>
      <c r="U211" s="281">
        <f t="shared" si="23"/>
        <v>362999.99999999953</v>
      </c>
    </row>
    <row r="212" spans="1:21" ht="18">
      <c r="A212" s="282">
        <v>153</v>
      </c>
      <c r="B212" s="282">
        <v>4</v>
      </c>
      <c r="C212" s="283" t="s">
        <v>443</v>
      </c>
      <c r="D212" s="284" t="s">
        <v>444</v>
      </c>
      <c r="E212" s="284" t="s">
        <v>435</v>
      </c>
      <c r="F212" s="285">
        <v>2</v>
      </c>
      <c r="G212" s="286">
        <v>4818000</v>
      </c>
      <c r="H212" s="285">
        <f t="shared" si="21"/>
        <v>9636000</v>
      </c>
      <c r="I212" s="287">
        <v>2</v>
      </c>
      <c r="J212" s="164">
        <v>5440050</v>
      </c>
      <c r="K212" s="164">
        <f t="shared" si="24"/>
        <v>10880100</v>
      </c>
      <c r="L212" s="288">
        <f t="shared" si="22"/>
        <v>622050</v>
      </c>
      <c r="M212" s="284" t="s">
        <v>436</v>
      </c>
      <c r="N212" s="282"/>
      <c r="O212" s="282">
        <v>1</v>
      </c>
      <c r="P212" s="289" t="s">
        <v>370</v>
      </c>
      <c r="Q212" s="22"/>
      <c r="R212" s="2318">
        <v>5440050</v>
      </c>
      <c r="S212" s="8">
        <v>10880100</v>
      </c>
      <c r="T212" s="281">
        <f t="shared" si="23"/>
        <v>622050</v>
      </c>
      <c r="U212" s="281">
        <f t="shared" si="23"/>
        <v>1244100</v>
      </c>
    </row>
    <row r="213" spans="1:21" ht="18">
      <c r="A213" s="282">
        <v>154</v>
      </c>
      <c r="B213" s="282">
        <v>5</v>
      </c>
      <c r="C213" s="283" t="s">
        <v>445</v>
      </c>
      <c r="D213" s="284" t="s">
        <v>446</v>
      </c>
      <c r="E213" s="284" t="s">
        <v>447</v>
      </c>
      <c r="F213" s="285">
        <v>2</v>
      </c>
      <c r="G213" s="286">
        <v>1554000</v>
      </c>
      <c r="H213" s="285">
        <f t="shared" si="21"/>
        <v>3108000</v>
      </c>
      <c r="I213" s="287">
        <v>2</v>
      </c>
      <c r="J213" s="164">
        <v>2229150</v>
      </c>
      <c r="K213" s="164">
        <f t="shared" si="24"/>
        <v>4458300</v>
      </c>
      <c r="L213" s="288">
        <f t="shared" si="22"/>
        <v>675150</v>
      </c>
      <c r="M213" s="282" t="s">
        <v>448</v>
      </c>
      <c r="N213" s="282" t="s">
        <v>449</v>
      </c>
      <c r="O213" s="282">
        <v>1</v>
      </c>
      <c r="P213" s="289" t="s">
        <v>370</v>
      </c>
      <c r="Q213" s="22"/>
      <c r="R213" s="2318">
        <v>2229150</v>
      </c>
      <c r="S213" s="8">
        <v>4458300</v>
      </c>
      <c r="T213" s="281">
        <f t="shared" si="23"/>
        <v>675150</v>
      </c>
      <c r="U213" s="281">
        <f t="shared" si="23"/>
        <v>1350300</v>
      </c>
    </row>
    <row r="214" spans="1:21" ht="18">
      <c r="A214" s="282">
        <v>155</v>
      </c>
      <c r="B214" s="282">
        <v>6</v>
      </c>
      <c r="C214" s="283" t="s">
        <v>450</v>
      </c>
      <c r="D214" s="284" t="s">
        <v>451</v>
      </c>
      <c r="E214" s="284" t="s">
        <v>452</v>
      </c>
      <c r="F214" s="285">
        <v>3</v>
      </c>
      <c r="G214" s="286">
        <v>1554000</v>
      </c>
      <c r="H214" s="285">
        <f t="shared" si="21"/>
        <v>4662000</v>
      </c>
      <c r="I214" s="287">
        <v>3</v>
      </c>
      <c r="J214" s="164">
        <v>2229150</v>
      </c>
      <c r="K214" s="164">
        <f t="shared" si="24"/>
        <v>6687450</v>
      </c>
      <c r="L214" s="288">
        <f t="shared" si="22"/>
        <v>675150</v>
      </c>
      <c r="M214" s="282" t="s">
        <v>448</v>
      </c>
      <c r="N214" s="282" t="s">
        <v>453</v>
      </c>
      <c r="O214" s="282">
        <v>1</v>
      </c>
      <c r="P214" s="289" t="s">
        <v>370</v>
      </c>
      <c r="Q214" s="22"/>
      <c r="R214" s="2318">
        <v>2229150</v>
      </c>
      <c r="S214" s="8">
        <v>6687450</v>
      </c>
      <c r="T214" s="281">
        <f t="shared" si="23"/>
        <v>675150</v>
      </c>
      <c r="U214" s="281">
        <f t="shared" si="23"/>
        <v>2025450</v>
      </c>
    </row>
    <row r="215" spans="1:21" ht="18">
      <c r="A215" s="282">
        <v>156</v>
      </c>
      <c r="B215" s="282">
        <v>7</v>
      </c>
      <c r="C215" s="283" t="s">
        <v>454</v>
      </c>
      <c r="D215" s="284" t="s">
        <v>455</v>
      </c>
      <c r="E215" s="284" t="s">
        <v>260</v>
      </c>
      <c r="F215" s="285">
        <v>5</v>
      </c>
      <c r="G215" s="286">
        <v>499800</v>
      </c>
      <c r="H215" s="285">
        <f t="shared" si="21"/>
        <v>2499000</v>
      </c>
      <c r="I215" s="287">
        <v>5</v>
      </c>
      <c r="J215" s="164">
        <v>531300</v>
      </c>
      <c r="K215" s="164">
        <f t="shared" si="24"/>
        <v>2656500</v>
      </c>
      <c r="L215" s="288">
        <f t="shared" si="22"/>
        <v>31500</v>
      </c>
      <c r="M215" s="282" t="s">
        <v>440</v>
      </c>
      <c r="N215" s="282"/>
      <c r="O215" s="282">
        <v>1</v>
      </c>
      <c r="P215" s="289" t="s">
        <v>370</v>
      </c>
      <c r="Q215" s="22"/>
      <c r="R215" s="2318">
        <v>531300</v>
      </c>
      <c r="S215" s="8">
        <v>2656500</v>
      </c>
      <c r="T215" s="281">
        <f t="shared" si="23"/>
        <v>31500</v>
      </c>
      <c r="U215" s="281">
        <f t="shared" si="23"/>
        <v>157500</v>
      </c>
    </row>
    <row r="216" spans="1:21" ht="18">
      <c r="A216" s="282">
        <v>157</v>
      </c>
      <c r="B216" s="282">
        <v>8</v>
      </c>
      <c r="C216" s="283" t="s">
        <v>456</v>
      </c>
      <c r="D216" s="284" t="s">
        <v>457</v>
      </c>
      <c r="E216" s="284" t="s">
        <v>260</v>
      </c>
      <c r="F216" s="285">
        <v>100</v>
      </c>
      <c r="G216" s="286">
        <v>814800</v>
      </c>
      <c r="H216" s="285">
        <f t="shared" si="21"/>
        <v>81480000</v>
      </c>
      <c r="I216" s="287">
        <v>100</v>
      </c>
      <c r="J216" s="164">
        <v>1022175.0000000001</v>
      </c>
      <c r="K216" s="164">
        <f t="shared" si="24"/>
        <v>102217500.00000001</v>
      </c>
      <c r="L216" s="288">
        <f t="shared" si="22"/>
        <v>207375.00000000012</v>
      </c>
      <c r="M216" s="282" t="s">
        <v>440</v>
      </c>
      <c r="N216" s="282"/>
      <c r="O216" s="282">
        <v>1</v>
      </c>
      <c r="P216" s="289" t="s">
        <v>370</v>
      </c>
      <c r="Q216" s="22"/>
      <c r="R216" s="2318">
        <v>1022175.0000000001</v>
      </c>
      <c r="S216" s="8">
        <v>102217500.00000001</v>
      </c>
      <c r="T216" s="281">
        <f t="shared" si="23"/>
        <v>207375.00000000012</v>
      </c>
      <c r="U216" s="281">
        <f t="shared" si="23"/>
        <v>20737500.000000015</v>
      </c>
    </row>
    <row r="217" spans="1:21" ht="18">
      <c r="A217" s="282">
        <v>158</v>
      </c>
      <c r="B217" s="282">
        <v>9</v>
      </c>
      <c r="C217" s="283" t="s">
        <v>458</v>
      </c>
      <c r="D217" s="284" t="s">
        <v>459</v>
      </c>
      <c r="E217" s="284" t="s">
        <v>260</v>
      </c>
      <c r="F217" s="285">
        <v>100</v>
      </c>
      <c r="G217" s="286">
        <v>1050000</v>
      </c>
      <c r="H217" s="285">
        <f t="shared" si="21"/>
        <v>105000000</v>
      </c>
      <c r="I217" s="287">
        <v>100</v>
      </c>
      <c r="J217" s="164">
        <v>1328250</v>
      </c>
      <c r="K217" s="164">
        <f t="shared" si="24"/>
        <v>132825000</v>
      </c>
      <c r="L217" s="288">
        <f t="shared" si="22"/>
        <v>278250</v>
      </c>
      <c r="M217" s="282" t="s">
        <v>440</v>
      </c>
      <c r="N217" s="282"/>
      <c r="O217" s="282">
        <v>1</v>
      </c>
      <c r="P217" s="289" t="s">
        <v>370</v>
      </c>
      <c r="Q217" s="22"/>
      <c r="R217" s="2318">
        <v>1328250</v>
      </c>
      <c r="S217" s="8">
        <v>132825000</v>
      </c>
      <c r="T217" s="281">
        <f t="shared" si="23"/>
        <v>278250</v>
      </c>
      <c r="U217" s="281">
        <f t="shared" si="23"/>
        <v>27825000</v>
      </c>
    </row>
    <row r="218" spans="1:21" ht="18">
      <c r="A218" s="282">
        <v>159</v>
      </c>
      <c r="B218" s="282">
        <v>10</v>
      </c>
      <c r="C218" s="283" t="s">
        <v>460</v>
      </c>
      <c r="D218" s="284" t="s">
        <v>461</v>
      </c>
      <c r="E218" s="284" t="s">
        <v>260</v>
      </c>
      <c r="F218" s="285">
        <v>90</v>
      </c>
      <c r="G218" s="286">
        <v>1428000</v>
      </c>
      <c r="H218" s="285">
        <f t="shared" si="21"/>
        <v>128520000</v>
      </c>
      <c r="I218" s="287">
        <v>90</v>
      </c>
      <c r="J218" s="164">
        <v>1774080.0000000002</v>
      </c>
      <c r="K218" s="164">
        <f t="shared" si="24"/>
        <v>159667200.00000003</v>
      </c>
      <c r="L218" s="288">
        <f t="shared" si="22"/>
        <v>346080.00000000023</v>
      </c>
      <c r="M218" s="282" t="s">
        <v>440</v>
      </c>
      <c r="N218" s="282"/>
      <c r="O218" s="282">
        <v>1</v>
      </c>
      <c r="P218" s="289" t="s">
        <v>370</v>
      </c>
      <c r="Q218" s="22"/>
      <c r="R218" s="2318">
        <v>1774080.0000000002</v>
      </c>
      <c r="S218" s="8">
        <v>159667200.00000003</v>
      </c>
      <c r="T218" s="281">
        <f t="shared" si="23"/>
        <v>346080.00000000023</v>
      </c>
      <c r="U218" s="281">
        <f t="shared" si="23"/>
        <v>31147200.00000003</v>
      </c>
    </row>
    <row r="219" spans="1:21" ht="18">
      <c r="A219" s="282">
        <v>160</v>
      </c>
      <c r="B219" s="282">
        <v>11</v>
      </c>
      <c r="C219" s="283" t="s">
        <v>462</v>
      </c>
      <c r="D219" s="284" t="s">
        <v>463</v>
      </c>
      <c r="E219" s="284" t="s">
        <v>260</v>
      </c>
      <c r="F219" s="285">
        <v>70</v>
      </c>
      <c r="G219" s="286">
        <v>1680000</v>
      </c>
      <c r="H219" s="285">
        <f t="shared" si="21"/>
        <v>117600000</v>
      </c>
      <c r="I219" s="287">
        <v>70</v>
      </c>
      <c r="J219" s="164">
        <v>1843380.0000000002</v>
      </c>
      <c r="K219" s="164">
        <f t="shared" si="24"/>
        <v>129036600.00000001</v>
      </c>
      <c r="L219" s="288">
        <f t="shared" si="22"/>
        <v>163380.00000000023</v>
      </c>
      <c r="M219" s="282" t="s">
        <v>440</v>
      </c>
      <c r="N219" s="282"/>
      <c r="O219" s="282">
        <v>1</v>
      </c>
      <c r="P219" s="289" t="s">
        <v>370</v>
      </c>
      <c r="Q219" s="22"/>
      <c r="R219" s="2318">
        <v>1843380.0000000002</v>
      </c>
      <c r="S219" s="8">
        <v>129036600.00000001</v>
      </c>
      <c r="T219" s="281">
        <f t="shared" si="23"/>
        <v>163380.00000000023</v>
      </c>
      <c r="U219" s="281">
        <f t="shared" si="23"/>
        <v>11436600.000000015</v>
      </c>
    </row>
    <row r="220" spans="1:21" ht="18">
      <c r="A220" s="282">
        <v>161</v>
      </c>
      <c r="B220" s="282">
        <v>12</v>
      </c>
      <c r="C220" s="283" t="s">
        <v>464</v>
      </c>
      <c r="D220" s="284" t="s">
        <v>465</v>
      </c>
      <c r="E220" s="284" t="s">
        <v>466</v>
      </c>
      <c r="F220" s="285">
        <v>400</v>
      </c>
      <c r="G220" s="286">
        <v>19950</v>
      </c>
      <c r="H220" s="285">
        <f t="shared" si="21"/>
        <v>7980000</v>
      </c>
      <c r="I220" s="287">
        <v>400</v>
      </c>
      <c r="J220" s="164">
        <v>23677.500000000004</v>
      </c>
      <c r="K220" s="164">
        <f t="shared" si="24"/>
        <v>9471000.0000000019</v>
      </c>
      <c r="L220" s="288">
        <f t="shared" si="22"/>
        <v>3727.5000000000036</v>
      </c>
      <c r="M220" s="282" t="s">
        <v>448</v>
      </c>
      <c r="N220" s="290" t="s">
        <v>467</v>
      </c>
      <c r="O220" s="282">
        <v>1</v>
      </c>
      <c r="P220" s="289" t="s">
        <v>370</v>
      </c>
      <c r="Q220" s="22"/>
      <c r="R220" s="2318">
        <v>23677.500000000004</v>
      </c>
      <c r="S220" s="8">
        <v>9471000.0000000019</v>
      </c>
      <c r="T220" s="281">
        <f t="shared" si="23"/>
        <v>3727.5000000000036</v>
      </c>
      <c r="U220" s="281">
        <f t="shared" si="23"/>
        <v>1491000.0000000019</v>
      </c>
    </row>
    <row r="221" spans="1:21" s="159" customFormat="1" ht="18">
      <c r="A221" s="291">
        <v>162</v>
      </c>
      <c r="B221" s="291">
        <v>13</v>
      </c>
      <c r="C221" s="292" t="s">
        <v>468</v>
      </c>
      <c r="D221" s="293" t="s">
        <v>469</v>
      </c>
      <c r="E221" s="293" t="s">
        <v>470</v>
      </c>
      <c r="F221" s="294">
        <v>300</v>
      </c>
      <c r="G221" s="294">
        <v>97020.000000000015</v>
      </c>
      <c r="H221" s="294">
        <f t="shared" si="21"/>
        <v>29106000.000000004</v>
      </c>
      <c r="I221" s="295">
        <v>300</v>
      </c>
      <c r="J221" s="172">
        <v>97020.000000000015</v>
      </c>
      <c r="K221" s="172">
        <f t="shared" si="24"/>
        <v>29106000.000000004</v>
      </c>
      <c r="L221" s="296">
        <f t="shared" si="22"/>
        <v>0</v>
      </c>
      <c r="M221" s="291" t="s">
        <v>471</v>
      </c>
      <c r="N221" s="291">
        <v>1322</v>
      </c>
      <c r="O221" s="291">
        <v>1</v>
      </c>
      <c r="P221" s="297" t="s">
        <v>370</v>
      </c>
      <c r="Q221" s="298"/>
      <c r="R221" s="2323">
        <v>97020.000000000015</v>
      </c>
      <c r="S221" s="158">
        <v>29106000.000000004</v>
      </c>
      <c r="T221" s="299">
        <f t="shared" si="23"/>
        <v>0</v>
      </c>
      <c r="U221" s="299">
        <f t="shared" si="23"/>
        <v>0</v>
      </c>
    </row>
    <row r="222" spans="1:21" ht="18">
      <c r="A222" s="282">
        <v>163</v>
      </c>
      <c r="B222" s="282">
        <v>14</v>
      </c>
      <c r="C222" s="283" t="s">
        <v>472</v>
      </c>
      <c r="D222" s="284" t="s">
        <v>473</v>
      </c>
      <c r="E222" s="284" t="s">
        <v>435</v>
      </c>
      <c r="F222" s="285">
        <v>100</v>
      </c>
      <c r="G222" s="286">
        <v>556500</v>
      </c>
      <c r="H222" s="285">
        <f t="shared" si="21"/>
        <v>55650000</v>
      </c>
      <c r="I222" s="287">
        <v>100</v>
      </c>
      <c r="J222" s="164">
        <v>687225</v>
      </c>
      <c r="K222" s="164">
        <f t="shared" si="24"/>
        <v>68722500</v>
      </c>
      <c r="L222" s="288">
        <f t="shared" si="22"/>
        <v>130725</v>
      </c>
      <c r="M222" s="282" t="s">
        <v>448</v>
      </c>
      <c r="N222" s="282">
        <v>1250</v>
      </c>
      <c r="O222" s="282">
        <v>1</v>
      </c>
      <c r="P222" s="289" t="s">
        <v>370</v>
      </c>
      <c r="Q222" s="22"/>
      <c r="R222" s="2318">
        <v>687225</v>
      </c>
      <c r="S222" s="8">
        <v>68722500</v>
      </c>
      <c r="T222" s="281">
        <f t="shared" si="23"/>
        <v>130725</v>
      </c>
      <c r="U222" s="281">
        <f t="shared" si="23"/>
        <v>13072500</v>
      </c>
    </row>
    <row r="223" spans="1:21" ht="18">
      <c r="A223" s="282">
        <v>164</v>
      </c>
      <c r="B223" s="282">
        <v>15</v>
      </c>
      <c r="C223" s="283" t="s">
        <v>474</v>
      </c>
      <c r="D223" s="284" t="s">
        <v>475</v>
      </c>
      <c r="E223" s="284" t="s">
        <v>435</v>
      </c>
      <c r="F223" s="285">
        <v>8</v>
      </c>
      <c r="G223" s="286">
        <v>2205000</v>
      </c>
      <c r="H223" s="285">
        <f t="shared" si="21"/>
        <v>17640000</v>
      </c>
      <c r="I223" s="287">
        <v>8</v>
      </c>
      <c r="J223" s="164">
        <v>2807200</v>
      </c>
      <c r="K223" s="164">
        <f t="shared" si="24"/>
        <v>22457600</v>
      </c>
      <c r="L223" s="288">
        <f t="shared" si="22"/>
        <v>602200</v>
      </c>
      <c r="M223" s="282" t="s">
        <v>448</v>
      </c>
      <c r="N223" s="282">
        <v>1292</v>
      </c>
      <c r="O223" s="282">
        <v>1</v>
      </c>
      <c r="P223" s="289" t="s">
        <v>370</v>
      </c>
      <c r="Q223" s="22"/>
      <c r="R223" s="2318">
        <v>2807200</v>
      </c>
      <c r="S223" s="8">
        <v>22457600</v>
      </c>
      <c r="T223" s="281">
        <f t="shared" si="23"/>
        <v>602200</v>
      </c>
      <c r="U223" s="281">
        <f t="shared" si="23"/>
        <v>4817600</v>
      </c>
    </row>
    <row r="224" spans="1:21" ht="27">
      <c r="A224" s="282">
        <v>165</v>
      </c>
      <c r="B224" s="282">
        <v>16</v>
      </c>
      <c r="C224" s="283" t="s">
        <v>476</v>
      </c>
      <c r="D224" s="284" t="s">
        <v>477</v>
      </c>
      <c r="E224" s="284" t="s">
        <v>470</v>
      </c>
      <c r="F224" s="285">
        <v>20</v>
      </c>
      <c r="G224" s="286">
        <v>562800</v>
      </c>
      <c r="H224" s="285">
        <f t="shared" si="21"/>
        <v>11256000</v>
      </c>
      <c r="I224" s="287">
        <v>20</v>
      </c>
      <c r="J224" s="164">
        <v>658350</v>
      </c>
      <c r="K224" s="164">
        <f t="shared" si="24"/>
        <v>13167000</v>
      </c>
      <c r="L224" s="288">
        <f t="shared" si="22"/>
        <v>95550</v>
      </c>
      <c r="M224" s="282" t="s">
        <v>478</v>
      </c>
      <c r="N224" s="282">
        <v>1226</v>
      </c>
      <c r="O224" s="282">
        <v>1</v>
      </c>
      <c r="P224" s="289" t="s">
        <v>370</v>
      </c>
      <c r="Q224" s="22"/>
      <c r="R224" s="2318">
        <v>658350</v>
      </c>
      <c r="S224" s="8">
        <v>13167000</v>
      </c>
      <c r="T224" s="281">
        <f t="shared" si="23"/>
        <v>95550</v>
      </c>
      <c r="U224" s="281">
        <f t="shared" si="23"/>
        <v>1911000</v>
      </c>
    </row>
    <row r="225" spans="1:21" ht="18">
      <c r="A225" s="282">
        <v>166</v>
      </c>
      <c r="B225" s="282">
        <v>17</v>
      </c>
      <c r="C225" s="283" t="s">
        <v>479</v>
      </c>
      <c r="D225" s="284" t="s">
        <v>480</v>
      </c>
      <c r="E225" s="282" t="s">
        <v>481</v>
      </c>
      <c r="F225" s="285">
        <v>500</v>
      </c>
      <c r="G225" s="286">
        <v>273000</v>
      </c>
      <c r="H225" s="285">
        <f t="shared" si="21"/>
        <v>136500000</v>
      </c>
      <c r="I225" s="287">
        <v>500</v>
      </c>
      <c r="J225" s="164">
        <v>328545</v>
      </c>
      <c r="K225" s="164">
        <f t="shared" si="24"/>
        <v>164272500</v>
      </c>
      <c r="L225" s="288">
        <f t="shared" si="22"/>
        <v>55545</v>
      </c>
      <c r="M225" s="284" t="s">
        <v>482</v>
      </c>
      <c r="N225" s="300"/>
      <c r="O225" s="300">
        <v>1</v>
      </c>
      <c r="P225" s="289" t="s">
        <v>370</v>
      </c>
      <c r="Q225" s="22"/>
      <c r="R225" s="2318">
        <v>328545</v>
      </c>
      <c r="S225" s="8">
        <v>164272500</v>
      </c>
      <c r="T225" s="281">
        <f t="shared" si="23"/>
        <v>55545</v>
      </c>
      <c r="U225" s="281">
        <f t="shared" si="23"/>
        <v>27772500</v>
      </c>
    </row>
    <row r="226" spans="1:21" ht="18">
      <c r="A226" s="282">
        <v>167</v>
      </c>
      <c r="B226" s="282">
        <v>18</v>
      </c>
      <c r="C226" s="283" t="s">
        <v>483</v>
      </c>
      <c r="D226" s="284" t="s">
        <v>484</v>
      </c>
      <c r="E226" s="282" t="s">
        <v>481</v>
      </c>
      <c r="F226" s="285">
        <v>50</v>
      </c>
      <c r="G226" s="286">
        <v>853600.00000000012</v>
      </c>
      <c r="H226" s="285">
        <f t="shared" si="21"/>
        <v>42680000.000000007</v>
      </c>
      <c r="I226" s="287">
        <v>50</v>
      </c>
      <c r="J226" s="164">
        <v>981225</v>
      </c>
      <c r="K226" s="164">
        <f t="shared" si="24"/>
        <v>49061250</v>
      </c>
      <c r="L226" s="288">
        <f t="shared" si="22"/>
        <v>127624.99999999988</v>
      </c>
      <c r="M226" s="284" t="s">
        <v>482</v>
      </c>
      <c r="N226" s="282"/>
      <c r="O226" s="282">
        <v>1</v>
      </c>
      <c r="P226" s="289" t="s">
        <v>370</v>
      </c>
      <c r="Q226" s="22"/>
      <c r="R226" s="2318">
        <v>981225</v>
      </c>
      <c r="S226" s="8">
        <v>49061250</v>
      </c>
      <c r="T226" s="281">
        <f t="shared" si="23"/>
        <v>127624.99999999988</v>
      </c>
      <c r="U226" s="281">
        <f t="shared" si="23"/>
        <v>6381249.9999999925</v>
      </c>
    </row>
    <row r="227" spans="1:21" ht="18">
      <c r="A227" s="282">
        <v>168</v>
      </c>
      <c r="B227" s="282">
        <v>19</v>
      </c>
      <c r="C227" s="283" t="s">
        <v>485</v>
      </c>
      <c r="D227" s="284" t="s">
        <v>486</v>
      </c>
      <c r="E227" s="284" t="s">
        <v>481</v>
      </c>
      <c r="F227" s="285">
        <v>500</v>
      </c>
      <c r="G227" s="286">
        <v>388500</v>
      </c>
      <c r="H227" s="285">
        <f t="shared" si="21"/>
        <v>194250000</v>
      </c>
      <c r="I227" s="287">
        <v>500</v>
      </c>
      <c r="J227" s="164">
        <v>438900.00000000006</v>
      </c>
      <c r="K227" s="164">
        <f t="shared" si="24"/>
        <v>219450000.00000003</v>
      </c>
      <c r="L227" s="288">
        <f t="shared" si="22"/>
        <v>50400.000000000058</v>
      </c>
      <c r="M227" s="284" t="s">
        <v>487</v>
      </c>
      <c r="N227" s="282"/>
      <c r="O227" s="282">
        <v>1</v>
      </c>
      <c r="P227" s="289" t="s">
        <v>370</v>
      </c>
      <c r="Q227" s="22"/>
      <c r="R227" s="2318">
        <v>438900.00000000006</v>
      </c>
      <c r="S227" s="8">
        <v>219450000.00000003</v>
      </c>
      <c r="T227" s="281">
        <f t="shared" si="23"/>
        <v>50400.000000000058</v>
      </c>
      <c r="U227" s="281">
        <f t="shared" si="23"/>
        <v>25200000.00000003</v>
      </c>
    </row>
    <row r="228" spans="1:21" ht="18">
      <c r="A228" s="282">
        <v>169</v>
      </c>
      <c r="B228" s="282">
        <v>20</v>
      </c>
      <c r="C228" s="283" t="s">
        <v>488</v>
      </c>
      <c r="D228" s="284" t="s">
        <v>489</v>
      </c>
      <c r="E228" s="284" t="s">
        <v>481</v>
      </c>
      <c r="F228" s="285">
        <v>400</v>
      </c>
      <c r="G228" s="286">
        <v>294000</v>
      </c>
      <c r="H228" s="285">
        <f t="shared" si="21"/>
        <v>117600000</v>
      </c>
      <c r="I228" s="287">
        <v>400</v>
      </c>
      <c r="J228" s="164">
        <v>385875</v>
      </c>
      <c r="K228" s="164">
        <f t="shared" si="24"/>
        <v>154350000</v>
      </c>
      <c r="L228" s="288">
        <f t="shared" si="22"/>
        <v>91875</v>
      </c>
      <c r="M228" s="284" t="s">
        <v>487</v>
      </c>
      <c r="N228" s="282"/>
      <c r="O228" s="282">
        <v>1</v>
      </c>
      <c r="P228" s="289" t="s">
        <v>370</v>
      </c>
      <c r="Q228" s="22"/>
      <c r="R228" s="2318">
        <v>385875</v>
      </c>
      <c r="S228" s="8">
        <v>154350000</v>
      </c>
      <c r="T228" s="281">
        <f t="shared" si="23"/>
        <v>91875</v>
      </c>
      <c r="U228" s="281">
        <f t="shared" si="23"/>
        <v>36750000</v>
      </c>
    </row>
    <row r="229" spans="1:21" ht="18">
      <c r="A229" s="282">
        <v>170</v>
      </c>
      <c r="B229" s="282">
        <v>21</v>
      </c>
      <c r="C229" s="283" t="s">
        <v>490</v>
      </c>
      <c r="D229" s="284" t="s">
        <v>491</v>
      </c>
      <c r="E229" s="282" t="s">
        <v>481</v>
      </c>
      <c r="F229" s="285">
        <v>5</v>
      </c>
      <c r="G229" s="286">
        <v>352800</v>
      </c>
      <c r="H229" s="285">
        <f t="shared" si="21"/>
        <v>1764000</v>
      </c>
      <c r="I229" s="287">
        <v>5</v>
      </c>
      <c r="J229" s="164">
        <v>392490</v>
      </c>
      <c r="K229" s="164">
        <f t="shared" si="24"/>
        <v>1962450</v>
      </c>
      <c r="L229" s="288">
        <f t="shared" si="22"/>
        <v>39690</v>
      </c>
      <c r="M229" s="282" t="s">
        <v>492</v>
      </c>
      <c r="N229" s="282"/>
      <c r="O229" s="282">
        <v>1</v>
      </c>
      <c r="P229" s="289" t="s">
        <v>370</v>
      </c>
      <c r="Q229" s="22"/>
      <c r="R229" s="2318">
        <v>392490</v>
      </c>
      <c r="S229" s="8">
        <v>1962450</v>
      </c>
      <c r="T229" s="281">
        <f t="shared" si="23"/>
        <v>39690</v>
      </c>
      <c r="U229" s="281">
        <f t="shared" si="23"/>
        <v>198450</v>
      </c>
    </row>
    <row r="230" spans="1:21" ht="18">
      <c r="A230" s="282">
        <v>171</v>
      </c>
      <c r="B230" s="282">
        <v>22</v>
      </c>
      <c r="C230" s="283" t="s">
        <v>493</v>
      </c>
      <c r="D230" s="284" t="s">
        <v>491</v>
      </c>
      <c r="E230" s="282" t="s">
        <v>481</v>
      </c>
      <c r="F230" s="285">
        <v>5</v>
      </c>
      <c r="G230" s="286">
        <v>430500</v>
      </c>
      <c r="H230" s="285">
        <f t="shared" si="21"/>
        <v>2152500</v>
      </c>
      <c r="I230" s="287">
        <v>5</v>
      </c>
      <c r="J230" s="164">
        <v>568890</v>
      </c>
      <c r="K230" s="164">
        <f t="shared" si="24"/>
        <v>2844450</v>
      </c>
      <c r="L230" s="288">
        <f t="shared" si="22"/>
        <v>138390</v>
      </c>
      <c r="M230" s="284" t="s">
        <v>494</v>
      </c>
      <c r="N230" s="282"/>
      <c r="O230" s="282">
        <v>1</v>
      </c>
      <c r="P230" s="289" t="s">
        <v>370</v>
      </c>
      <c r="Q230" s="22"/>
      <c r="R230" s="2318">
        <v>568890</v>
      </c>
      <c r="S230" s="8">
        <v>2844450</v>
      </c>
      <c r="T230" s="281">
        <f t="shared" si="23"/>
        <v>138390</v>
      </c>
      <c r="U230" s="281">
        <f t="shared" si="23"/>
        <v>691950</v>
      </c>
    </row>
    <row r="231" spans="1:21" s="3" customFormat="1" ht="18">
      <c r="A231" s="300">
        <v>172</v>
      </c>
      <c r="B231" s="300">
        <v>23</v>
      </c>
      <c r="C231" s="301" t="s">
        <v>495</v>
      </c>
      <c r="D231" s="302" t="s">
        <v>496</v>
      </c>
      <c r="E231" s="300" t="s">
        <v>497</v>
      </c>
      <c r="F231" s="285">
        <v>20000</v>
      </c>
      <c r="G231" s="286">
        <v>7035</v>
      </c>
      <c r="H231" s="285">
        <f t="shared" si="21"/>
        <v>140700000</v>
      </c>
      <c r="I231" s="303">
        <v>20000</v>
      </c>
      <c r="J231" s="164">
        <v>8192.1</v>
      </c>
      <c r="K231" s="164">
        <f t="shared" si="24"/>
        <v>163842000</v>
      </c>
      <c r="L231" s="304">
        <f t="shared" si="22"/>
        <v>1157.1000000000004</v>
      </c>
      <c r="M231" s="302" t="s">
        <v>487</v>
      </c>
      <c r="N231" s="300"/>
      <c r="O231" s="300">
        <v>1</v>
      </c>
      <c r="P231" s="289" t="s">
        <v>370</v>
      </c>
      <c r="Q231" s="22"/>
      <c r="R231" s="2318">
        <v>8192.1</v>
      </c>
      <c r="S231" s="8">
        <v>163842000</v>
      </c>
      <c r="T231" s="305">
        <f t="shared" si="23"/>
        <v>1157.1000000000004</v>
      </c>
      <c r="U231" s="305">
        <f t="shared" si="23"/>
        <v>23142000</v>
      </c>
    </row>
    <row r="232" spans="1:21" ht="18">
      <c r="A232" s="282">
        <v>173</v>
      </c>
      <c r="B232" s="282">
        <v>24</v>
      </c>
      <c r="C232" s="283" t="s">
        <v>498</v>
      </c>
      <c r="D232" s="284" t="s">
        <v>499</v>
      </c>
      <c r="E232" s="282" t="s">
        <v>260</v>
      </c>
      <c r="F232" s="285">
        <v>24</v>
      </c>
      <c r="G232" s="286">
        <v>703500</v>
      </c>
      <c r="H232" s="285">
        <f t="shared" si="21"/>
        <v>16884000</v>
      </c>
      <c r="I232" s="287">
        <v>24</v>
      </c>
      <c r="J232" s="164">
        <v>808500.00000000012</v>
      </c>
      <c r="K232" s="164">
        <f t="shared" si="24"/>
        <v>19404000.000000004</v>
      </c>
      <c r="L232" s="288">
        <f t="shared" si="22"/>
        <v>105000.00000000012</v>
      </c>
      <c r="M232" s="284" t="s">
        <v>500</v>
      </c>
      <c r="N232" s="282">
        <v>1228</v>
      </c>
      <c r="O232" s="282">
        <v>1</v>
      </c>
      <c r="P232" s="289" t="s">
        <v>370</v>
      </c>
      <c r="Q232" s="22"/>
      <c r="R232" s="2318">
        <v>808500.00000000012</v>
      </c>
      <c r="S232" s="8">
        <v>19404000.000000004</v>
      </c>
      <c r="T232" s="281">
        <f t="shared" si="23"/>
        <v>105000.00000000012</v>
      </c>
      <c r="U232" s="281">
        <f t="shared" si="23"/>
        <v>2520000.0000000037</v>
      </c>
    </row>
    <row r="233" spans="1:21" ht="18">
      <c r="A233" s="282">
        <v>174</v>
      </c>
      <c r="B233" s="282">
        <v>25</v>
      </c>
      <c r="C233" s="283" t="s">
        <v>501</v>
      </c>
      <c r="D233" s="284" t="s">
        <v>502</v>
      </c>
      <c r="E233" s="282" t="s">
        <v>435</v>
      </c>
      <c r="F233" s="285">
        <v>2</v>
      </c>
      <c r="G233" s="286">
        <v>1785000</v>
      </c>
      <c r="H233" s="285">
        <f t="shared" si="21"/>
        <v>3570000</v>
      </c>
      <c r="I233" s="287">
        <v>2</v>
      </c>
      <c r="J233" s="164">
        <v>2032800.0000000002</v>
      </c>
      <c r="K233" s="164">
        <f t="shared" si="24"/>
        <v>4065600.0000000005</v>
      </c>
      <c r="L233" s="288">
        <f t="shared" si="22"/>
        <v>247800.00000000023</v>
      </c>
      <c r="M233" s="284" t="s">
        <v>500</v>
      </c>
      <c r="N233" s="282">
        <v>1248</v>
      </c>
      <c r="O233" s="282">
        <v>1</v>
      </c>
      <c r="P233" s="289" t="s">
        <v>370</v>
      </c>
      <c r="Q233" s="22"/>
      <c r="R233" s="2318">
        <v>2032800.0000000002</v>
      </c>
      <c r="S233" s="8">
        <v>4065600.0000000005</v>
      </c>
      <c r="T233" s="281">
        <f t="shared" si="23"/>
        <v>247800.00000000023</v>
      </c>
      <c r="U233" s="281">
        <f t="shared" si="23"/>
        <v>495600.00000000047</v>
      </c>
    </row>
    <row r="234" spans="1:21" ht="18">
      <c r="A234" s="282">
        <v>175</v>
      </c>
      <c r="B234" s="282">
        <v>26</v>
      </c>
      <c r="C234" s="283" t="s">
        <v>503</v>
      </c>
      <c r="D234" s="284" t="s">
        <v>504</v>
      </c>
      <c r="E234" s="282" t="s">
        <v>260</v>
      </c>
      <c r="F234" s="285">
        <v>5</v>
      </c>
      <c r="G234" s="286">
        <v>155400</v>
      </c>
      <c r="H234" s="285">
        <f t="shared" si="21"/>
        <v>777000</v>
      </c>
      <c r="I234" s="287">
        <v>5</v>
      </c>
      <c r="J234" s="164">
        <v>173250</v>
      </c>
      <c r="K234" s="164">
        <f t="shared" si="24"/>
        <v>866250</v>
      </c>
      <c r="L234" s="288">
        <f t="shared" si="22"/>
        <v>17850</v>
      </c>
      <c r="M234" s="284" t="s">
        <v>500</v>
      </c>
      <c r="N234" s="306" t="s">
        <v>505</v>
      </c>
      <c r="O234" s="282">
        <v>1</v>
      </c>
      <c r="P234" s="289" t="s">
        <v>370</v>
      </c>
      <c r="Q234" s="22"/>
      <c r="R234" s="2318">
        <v>173250</v>
      </c>
      <c r="S234" s="8">
        <v>866250</v>
      </c>
      <c r="T234" s="281">
        <f t="shared" si="23"/>
        <v>17850</v>
      </c>
      <c r="U234" s="281">
        <f t="shared" si="23"/>
        <v>89250</v>
      </c>
    </row>
    <row r="235" spans="1:21" ht="18">
      <c r="A235" s="282">
        <v>176</v>
      </c>
      <c r="B235" s="282">
        <v>27</v>
      </c>
      <c r="C235" s="283" t="s">
        <v>506</v>
      </c>
      <c r="D235" s="284" t="s">
        <v>507</v>
      </c>
      <c r="E235" s="283" t="s">
        <v>276</v>
      </c>
      <c r="F235" s="285">
        <v>100</v>
      </c>
      <c r="G235" s="286">
        <v>1890</v>
      </c>
      <c r="H235" s="285">
        <f t="shared" si="21"/>
        <v>189000</v>
      </c>
      <c r="I235" s="287">
        <v>100</v>
      </c>
      <c r="J235" s="164">
        <v>3003.0000000000005</v>
      </c>
      <c r="K235" s="164">
        <f t="shared" si="24"/>
        <v>300300.00000000006</v>
      </c>
      <c r="L235" s="288">
        <f t="shared" si="22"/>
        <v>1113.0000000000005</v>
      </c>
      <c r="M235" s="284" t="s">
        <v>508</v>
      </c>
      <c r="N235" s="282">
        <v>2228</v>
      </c>
      <c r="O235" s="282">
        <v>1</v>
      </c>
      <c r="P235" s="289" t="s">
        <v>370</v>
      </c>
      <c r="Q235" s="22"/>
      <c r="R235" s="2318">
        <v>3003.0000000000005</v>
      </c>
      <c r="S235" s="8">
        <v>300300.00000000006</v>
      </c>
      <c r="T235" s="281">
        <f t="shared" si="23"/>
        <v>1113.0000000000005</v>
      </c>
      <c r="U235" s="281">
        <f t="shared" si="23"/>
        <v>111300.00000000006</v>
      </c>
    </row>
    <row r="236" spans="1:21" ht="18">
      <c r="A236" s="282">
        <v>177</v>
      </c>
      <c r="B236" s="282">
        <v>28</v>
      </c>
      <c r="C236" s="283" t="s">
        <v>509</v>
      </c>
      <c r="D236" s="284" t="s">
        <v>461</v>
      </c>
      <c r="E236" s="283" t="s">
        <v>470</v>
      </c>
      <c r="F236" s="285">
        <v>100</v>
      </c>
      <c r="G236" s="286">
        <v>1323000</v>
      </c>
      <c r="H236" s="285">
        <f t="shared" si="21"/>
        <v>132300000</v>
      </c>
      <c r="I236" s="287">
        <v>100</v>
      </c>
      <c r="J236" s="164">
        <v>1501500.0000000002</v>
      </c>
      <c r="K236" s="164">
        <f t="shared" si="24"/>
        <v>150150000.00000003</v>
      </c>
      <c r="L236" s="288">
        <f t="shared" si="22"/>
        <v>178500.00000000023</v>
      </c>
      <c r="M236" s="282" t="s">
        <v>440</v>
      </c>
      <c r="N236" s="282"/>
      <c r="O236" s="282">
        <v>1</v>
      </c>
      <c r="P236" s="289" t="s">
        <v>370</v>
      </c>
      <c r="Q236" s="22"/>
      <c r="R236" s="2318">
        <v>1501500.0000000002</v>
      </c>
      <c r="S236" s="8">
        <v>150150000.00000003</v>
      </c>
      <c r="T236" s="281">
        <f t="shared" si="23"/>
        <v>178500.00000000023</v>
      </c>
      <c r="U236" s="281">
        <f t="shared" si="23"/>
        <v>17850000.00000003</v>
      </c>
    </row>
    <row r="237" spans="1:21" ht="18">
      <c r="A237" s="282">
        <v>178</v>
      </c>
      <c r="B237" s="282">
        <v>29</v>
      </c>
      <c r="C237" s="283" t="s">
        <v>510</v>
      </c>
      <c r="D237" s="284" t="s">
        <v>480</v>
      </c>
      <c r="E237" s="284" t="s">
        <v>481</v>
      </c>
      <c r="F237" s="285">
        <v>50</v>
      </c>
      <c r="G237" s="286">
        <v>567000</v>
      </c>
      <c r="H237" s="285">
        <f t="shared" si="21"/>
        <v>28350000</v>
      </c>
      <c r="I237" s="287">
        <v>50</v>
      </c>
      <c r="J237" s="164">
        <v>568260</v>
      </c>
      <c r="K237" s="164">
        <f t="shared" si="24"/>
        <v>28413000</v>
      </c>
      <c r="L237" s="288">
        <f t="shared" si="22"/>
        <v>1260</v>
      </c>
      <c r="M237" s="284" t="s">
        <v>511</v>
      </c>
      <c r="N237" s="282"/>
      <c r="O237" s="282">
        <v>1</v>
      </c>
      <c r="P237" s="289" t="s">
        <v>370</v>
      </c>
      <c r="Q237" s="22"/>
      <c r="R237" s="2318">
        <v>568260</v>
      </c>
      <c r="S237" s="8">
        <v>28413000</v>
      </c>
      <c r="T237" s="281">
        <f t="shared" si="23"/>
        <v>1260</v>
      </c>
      <c r="U237" s="281">
        <f t="shared" si="23"/>
        <v>63000</v>
      </c>
    </row>
    <row r="238" spans="1:21" ht="18">
      <c r="A238" s="282">
        <v>179</v>
      </c>
      <c r="B238" s="282">
        <v>30</v>
      </c>
      <c r="C238" s="283" t="s">
        <v>512</v>
      </c>
      <c r="D238" s="284" t="s">
        <v>513</v>
      </c>
      <c r="E238" s="284" t="s">
        <v>514</v>
      </c>
      <c r="F238" s="285">
        <v>500</v>
      </c>
      <c r="G238" s="286">
        <v>31500</v>
      </c>
      <c r="H238" s="285">
        <f t="shared" si="21"/>
        <v>15750000</v>
      </c>
      <c r="I238" s="287">
        <v>500</v>
      </c>
      <c r="J238" s="164">
        <v>42735</v>
      </c>
      <c r="K238" s="164">
        <f t="shared" si="24"/>
        <v>21367500</v>
      </c>
      <c r="L238" s="288">
        <f t="shared" si="22"/>
        <v>11235</v>
      </c>
      <c r="M238" s="282" t="s">
        <v>440</v>
      </c>
      <c r="N238" s="282"/>
      <c r="O238" s="282">
        <v>1</v>
      </c>
      <c r="P238" s="289" t="s">
        <v>370</v>
      </c>
      <c r="Q238" s="22"/>
      <c r="R238" s="2318">
        <v>42735</v>
      </c>
      <c r="S238" s="8">
        <v>21367500</v>
      </c>
      <c r="T238" s="281">
        <f t="shared" si="23"/>
        <v>11235</v>
      </c>
      <c r="U238" s="281">
        <f t="shared" si="23"/>
        <v>5617500</v>
      </c>
    </row>
    <row r="239" spans="1:21" s="159" customFormat="1" ht="18">
      <c r="A239" s="291">
        <v>180</v>
      </c>
      <c r="B239" s="291">
        <v>31</v>
      </c>
      <c r="C239" s="292" t="s">
        <v>515</v>
      </c>
      <c r="D239" s="293" t="s">
        <v>516</v>
      </c>
      <c r="E239" s="293" t="s">
        <v>276</v>
      </c>
      <c r="F239" s="294">
        <v>10</v>
      </c>
      <c r="G239" s="294">
        <v>54978.000000000007</v>
      </c>
      <c r="H239" s="294">
        <f t="shared" si="21"/>
        <v>549780.00000000012</v>
      </c>
      <c r="I239" s="295">
        <v>10</v>
      </c>
      <c r="J239" s="172">
        <v>54978.000000000007</v>
      </c>
      <c r="K239" s="172">
        <f t="shared" si="24"/>
        <v>549780.00000000012</v>
      </c>
      <c r="L239" s="296">
        <f t="shared" si="22"/>
        <v>0</v>
      </c>
      <c r="M239" s="291" t="s">
        <v>448</v>
      </c>
      <c r="N239" s="291">
        <v>2037</v>
      </c>
      <c r="O239" s="291">
        <v>1</v>
      </c>
      <c r="P239" s="297" t="s">
        <v>370</v>
      </c>
      <c r="Q239" s="298"/>
      <c r="R239" s="2323">
        <v>54978.000000000007</v>
      </c>
      <c r="S239" s="158">
        <v>549780.00000000012</v>
      </c>
      <c r="T239" s="299">
        <f t="shared" si="23"/>
        <v>0</v>
      </c>
      <c r="U239" s="299">
        <f t="shared" si="23"/>
        <v>0</v>
      </c>
    </row>
    <row r="240" spans="1:21" ht="18">
      <c r="A240" s="282">
        <v>181</v>
      </c>
      <c r="B240" s="282">
        <v>32</v>
      </c>
      <c r="C240" s="283" t="s">
        <v>517</v>
      </c>
      <c r="D240" s="284" t="s">
        <v>516</v>
      </c>
      <c r="E240" s="284" t="s">
        <v>276</v>
      </c>
      <c r="F240" s="285">
        <v>10</v>
      </c>
      <c r="G240" s="286">
        <v>70140</v>
      </c>
      <c r="H240" s="285">
        <f t="shared" si="21"/>
        <v>701400</v>
      </c>
      <c r="I240" s="287">
        <v>10</v>
      </c>
      <c r="J240" s="164">
        <v>78309</v>
      </c>
      <c r="K240" s="164">
        <f t="shared" si="24"/>
        <v>783090</v>
      </c>
      <c r="L240" s="288">
        <f t="shared" si="22"/>
        <v>8169</v>
      </c>
      <c r="M240" s="282" t="s">
        <v>448</v>
      </c>
      <c r="N240" s="282">
        <v>2040</v>
      </c>
      <c r="O240" s="282">
        <v>1</v>
      </c>
      <c r="P240" s="289" t="s">
        <v>370</v>
      </c>
      <c r="Q240" s="22"/>
      <c r="R240" s="2318">
        <v>78309</v>
      </c>
      <c r="S240" s="8">
        <v>783090</v>
      </c>
      <c r="T240" s="281">
        <f t="shared" si="23"/>
        <v>8169</v>
      </c>
      <c r="U240" s="281">
        <f t="shared" si="23"/>
        <v>81690</v>
      </c>
    </row>
    <row r="241" spans="1:21" ht="18">
      <c r="A241" s="282">
        <v>182</v>
      </c>
      <c r="B241" s="282">
        <v>33</v>
      </c>
      <c r="C241" s="283" t="s">
        <v>518</v>
      </c>
      <c r="D241" s="284" t="s">
        <v>516</v>
      </c>
      <c r="E241" s="284" t="s">
        <v>276</v>
      </c>
      <c r="F241" s="285">
        <v>10</v>
      </c>
      <c r="G241" s="286">
        <v>90300</v>
      </c>
      <c r="H241" s="285">
        <f t="shared" si="21"/>
        <v>903000</v>
      </c>
      <c r="I241" s="287">
        <v>10</v>
      </c>
      <c r="J241" s="164">
        <v>104296.50000000001</v>
      </c>
      <c r="K241" s="164">
        <f t="shared" si="24"/>
        <v>1042965.0000000001</v>
      </c>
      <c r="L241" s="288">
        <f t="shared" si="22"/>
        <v>13996.500000000015</v>
      </c>
      <c r="M241" s="282" t="s">
        <v>448</v>
      </c>
      <c r="N241" s="282">
        <v>2045</v>
      </c>
      <c r="O241" s="282">
        <v>1</v>
      </c>
      <c r="P241" s="289" t="s">
        <v>370</v>
      </c>
      <c r="Q241" s="22"/>
      <c r="R241" s="2318">
        <v>104296.50000000001</v>
      </c>
      <c r="S241" s="8">
        <v>1042965.0000000001</v>
      </c>
      <c r="T241" s="281">
        <f t="shared" si="23"/>
        <v>13996.500000000015</v>
      </c>
      <c r="U241" s="281">
        <f t="shared" si="23"/>
        <v>139965.00000000012</v>
      </c>
    </row>
    <row r="242" spans="1:21" ht="18">
      <c r="A242" s="282">
        <v>183</v>
      </c>
      <c r="B242" s="282">
        <v>34</v>
      </c>
      <c r="C242" s="283" t="s">
        <v>519</v>
      </c>
      <c r="D242" s="284" t="s">
        <v>520</v>
      </c>
      <c r="E242" s="284" t="s">
        <v>276</v>
      </c>
      <c r="F242" s="285">
        <v>10</v>
      </c>
      <c r="G242" s="286">
        <v>94500</v>
      </c>
      <c r="H242" s="285">
        <f t="shared" si="21"/>
        <v>945000</v>
      </c>
      <c r="I242" s="287">
        <v>10</v>
      </c>
      <c r="J242" s="164">
        <v>136059</v>
      </c>
      <c r="K242" s="164">
        <f t="shared" si="24"/>
        <v>1360590</v>
      </c>
      <c r="L242" s="288">
        <f t="shared" si="22"/>
        <v>41559</v>
      </c>
      <c r="M242" s="282" t="s">
        <v>448</v>
      </c>
      <c r="N242" s="282">
        <v>6640</v>
      </c>
      <c r="O242" s="282">
        <v>1</v>
      </c>
      <c r="P242" s="289" t="s">
        <v>370</v>
      </c>
      <c r="Q242" s="22"/>
      <c r="R242" s="2318">
        <v>136059</v>
      </c>
      <c r="S242" s="8">
        <v>1360590</v>
      </c>
      <c r="T242" s="281">
        <f t="shared" si="23"/>
        <v>41559</v>
      </c>
      <c r="U242" s="281">
        <f t="shared" si="23"/>
        <v>415590</v>
      </c>
    </row>
    <row r="243" spans="1:21" s="317" customFormat="1" ht="18">
      <c r="A243" s="307">
        <v>184</v>
      </c>
      <c r="B243" s="307">
        <v>35</v>
      </c>
      <c r="C243" s="308" t="s">
        <v>521</v>
      </c>
      <c r="D243" s="309" t="s">
        <v>522</v>
      </c>
      <c r="E243" s="309" t="s">
        <v>276</v>
      </c>
      <c r="F243" s="310">
        <v>10</v>
      </c>
      <c r="G243" s="311">
        <v>5250</v>
      </c>
      <c r="H243" s="310">
        <f t="shared" si="21"/>
        <v>52500</v>
      </c>
      <c r="I243" s="312">
        <v>10</v>
      </c>
      <c r="J243" s="313">
        <v>6468.0000000000009</v>
      </c>
      <c r="K243" s="313">
        <f t="shared" si="24"/>
        <v>64680.000000000007</v>
      </c>
      <c r="L243" s="314">
        <f t="shared" si="22"/>
        <v>1218.0000000000009</v>
      </c>
      <c r="M243" s="307" t="s">
        <v>448</v>
      </c>
      <c r="N243" s="307" t="s">
        <v>523</v>
      </c>
      <c r="O243" s="307">
        <v>1</v>
      </c>
      <c r="P243" s="289" t="s">
        <v>370</v>
      </c>
      <c r="Q243" s="22"/>
      <c r="R243" s="2324">
        <v>6468.0000000000009</v>
      </c>
      <c r="S243" s="315">
        <v>64680.000000000007</v>
      </c>
      <c r="T243" s="316">
        <f t="shared" si="23"/>
        <v>1218.0000000000009</v>
      </c>
      <c r="U243" s="316">
        <f t="shared" si="23"/>
        <v>12180.000000000007</v>
      </c>
    </row>
    <row r="244" spans="1:21" s="317" customFormat="1" ht="18">
      <c r="A244" s="318">
        <v>185</v>
      </c>
      <c r="B244" s="318">
        <v>36</v>
      </c>
      <c r="C244" s="319" t="s">
        <v>524</v>
      </c>
      <c r="D244" s="320" t="s">
        <v>525</v>
      </c>
      <c r="E244" s="320" t="s">
        <v>276</v>
      </c>
      <c r="F244" s="321">
        <v>10</v>
      </c>
      <c r="G244" s="322">
        <v>10500</v>
      </c>
      <c r="H244" s="321">
        <f t="shared" si="21"/>
        <v>105000</v>
      </c>
      <c r="I244" s="323">
        <v>10</v>
      </c>
      <c r="J244" s="324">
        <v>13860.000000000002</v>
      </c>
      <c r="K244" s="324">
        <f t="shared" si="24"/>
        <v>138600.00000000003</v>
      </c>
      <c r="L244" s="325">
        <f t="shared" si="22"/>
        <v>3360.0000000000018</v>
      </c>
      <c r="M244" s="318" t="s">
        <v>448</v>
      </c>
      <c r="N244" s="318" t="s">
        <v>526</v>
      </c>
      <c r="O244" s="318">
        <v>1</v>
      </c>
      <c r="P244" s="326" t="s">
        <v>370</v>
      </c>
      <c r="Q244" s="22"/>
      <c r="R244" s="2324">
        <v>13860.000000000002</v>
      </c>
      <c r="S244" s="315">
        <v>138600.00000000003</v>
      </c>
      <c r="T244" s="316">
        <f t="shared" si="23"/>
        <v>3360.0000000000018</v>
      </c>
      <c r="U244" s="316">
        <f t="shared" si="23"/>
        <v>33600.000000000029</v>
      </c>
    </row>
    <row r="245" spans="1:21">
      <c r="A245" s="2109" t="s">
        <v>527</v>
      </c>
      <c r="B245" s="2110"/>
      <c r="C245" s="2111"/>
      <c r="E245" s="327"/>
      <c r="F245" s="327"/>
      <c r="G245" s="327"/>
      <c r="H245" s="2286">
        <f>SUM(H209:H244)</f>
        <v>1917762180</v>
      </c>
      <c r="I245" s="329"/>
      <c r="J245" s="329"/>
      <c r="K245" s="328">
        <f>SUM(K209:K244)</f>
        <v>2248269755</v>
      </c>
      <c r="L245" s="329"/>
      <c r="M245" s="330"/>
      <c r="N245" s="330"/>
      <c r="O245" s="330"/>
      <c r="P245" s="142"/>
      <c r="Q245" s="142"/>
      <c r="R245" s="743"/>
    </row>
    <row r="246" spans="1:21">
      <c r="A246" s="2112" t="s">
        <v>528</v>
      </c>
      <c r="B246" s="2112"/>
      <c r="C246" s="2112"/>
      <c r="D246" s="2112"/>
      <c r="E246" s="2112"/>
      <c r="F246" s="2112"/>
      <c r="G246" s="2112"/>
      <c r="H246" s="2112"/>
      <c r="I246" s="2112"/>
      <c r="J246" s="2112"/>
      <c r="K246" s="2112"/>
      <c r="L246" s="2112"/>
      <c r="M246" s="2112"/>
      <c r="N246" s="2112"/>
      <c r="O246" s="2112"/>
      <c r="P246" s="2112"/>
      <c r="Q246" s="2112"/>
      <c r="R246" s="2112"/>
    </row>
    <row r="249" spans="1:21">
      <c r="A249" s="71" t="s">
        <v>529</v>
      </c>
    </row>
    <row r="250" spans="1:21" s="12" customFormat="1">
      <c r="A250" s="2092" t="s">
        <v>5</v>
      </c>
      <c r="B250" s="2092" t="s">
        <v>6</v>
      </c>
      <c r="C250" s="2094" t="s">
        <v>7</v>
      </c>
      <c r="D250" s="2096" t="s">
        <v>8</v>
      </c>
      <c r="E250" s="2092" t="s">
        <v>9</v>
      </c>
      <c r="F250" s="2098" t="s">
        <v>10</v>
      </c>
      <c r="G250" s="2098"/>
      <c r="H250" s="2098"/>
      <c r="I250" s="2098" t="s">
        <v>11</v>
      </c>
      <c r="J250" s="2098"/>
      <c r="K250" s="2098"/>
      <c r="L250" s="2099" t="s">
        <v>12</v>
      </c>
      <c r="M250" s="9"/>
      <c r="N250" s="9"/>
      <c r="O250" s="9"/>
      <c r="P250" s="2101" t="s">
        <v>13</v>
      </c>
      <c r="Q250" s="10"/>
      <c r="R250" s="2318"/>
      <c r="S250" s="11"/>
    </row>
    <row r="251" spans="1:21" s="16" customFormat="1" ht="27">
      <c r="A251" s="2093"/>
      <c r="B251" s="2093"/>
      <c r="C251" s="2095"/>
      <c r="D251" s="2097"/>
      <c r="E251" s="2093"/>
      <c r="F251" s="13" t="s">
        <v>14</v>
      </c>
      <c r="G251" s="13" t="s">
        <v>15</v>
      </c>
      <c r="H251" s="13" t="s">
        <v>16</v>
      </c>
      <c r="I251" s="13" t="s">
        <v>14</v>
      </c>
      <c r="J251" s="13" t="s">
        <v>15</v>
      </c>
      <c r="K251" s="13" t="s">
        <v>16</v>
      </c>
      <c r="L251" s="2100"/>
      <c r="M251" s="14" t="s">
        <v>17</v>
      </c>
      <c r="N251" s="14" t="s">
        <v>18</v>
      </c>
      <c r="O251" s="14" t="s">
        <v>19</v>
      </c>
      <c r="P251" s="2102"/>
      <c r="Q251" s="10"/>
      <c r="R251" s="2321"/>
      <c r="S251" s="15"/>
    </row>
    <row r="252" spans="1:21" s="24" customFormat="1">
      <c r="A252" s="17">
        <v>1</v>
      </c>
      <c r="B252" s="17">
        <v>2</v>
      </c>
      <c r="C252" s="18">
        <v>3</v>
      </c>
      <c r="D252" s="19">
        <v>4</v>
      </c>
      <c r="E252" s="17">
        <v>5</v>
      </c>
      <c r="F252" s="13">
        <v>6</v>
      </c>
      <c r="G252" s="20">
        <v>7</v>
      </c>
      <c r="H252" s="20">
        <v>8</v>
      </c>
      <c r="I252" s="20"/>
      <c r="J252" s="20">
        <v>9</v>
      </c>
      <c r="K252" s="20">
        <v>10</v>
      </c>
      <c r="L252" s="20">
        <v>11</v>
      </c>
      <c r="M252" s="19">
        <v>9</v>
      </c>
      <c r="N252" s="19">
        <v>10</v>
      </c>
      <c r="O252" s="19">
        <v>11</v>
      </c>
      <c r="P252" s="331">
        <v>12</v>
      </c>
      <c r="Q252" s="332"/>
      <c r="R252" s="2321"/>
      <c r="S252" s="23"/>
    </row>
    <row r="253" spans="1:21">
      <c r="A253" s="76">
        <v>186</v>
      </c>
      <c r="B253" s="76">
        <v>1</v>
      </c>
      <c r="C253" s="333" t="s">
        <v>530</v>
      </c>
      <c r="D253" s="76" t="s">
        <v>531</v>
      </c>
      <c r="E253" s="76" t="s">
        <v>47</v>
      </c>
      <c r="F253" s="334">
        <v>2</v>
      </c>
      <c r="G253" s="335">
        <f>1500000*1.05</f>
        <v>1575000</v>
      </c>
      <c r="H253" s="336">
        <f t="shared" ref="H253:H312" si="25">+G253*F253</f>
        <v>3150000</v>
      </c>
      <c r="I253" s="81">
        <v>2</v>
      </c>
      <c r="J253" s="32">
        <v>1800000</v>
      </c>
      <c r="K253" s="32">
        <f>I253*J253</f>
        <v>3600000</v>
      </c>
      <c r="L253" s="30">
        <f t="shared" ref="L253:L312" si="26">J253-G253</f>
        <v>225000</v>
      </c>
      <c r="M253" s="82" t="s">
        <v>532</v>
      </c>
      <c r="N253" s="337" t="s">
        <v>533</v>
      </c>
      <c r="O253" s="84"/>
      <c r="P253" s="106" t="s">
        <v>50</v>
      </c>
      <c r="Q253" s="115"/>
    </row>
    <row r="254" spans="1:21">
      <c r="A254" s="37">
        <v>187</v>
      </c>
      <c r="B254" s="37">
        <v>2</v>
      </c>
      <c r="C254" s="38" t="s">
        <v>534</v>
      </c>
      <c r="D254" s="37" t="s">
        <v>535</v>
      </c>
      <c r="E254" s="37" t="s">
        <v>47</v>
      </c>
      <c r="F254" s="338">
        <v>18000</v>
      </c>
      <c r="G254" s="339">
        <f>2200*1.05</f>
        <v>2310</v>
      </c>
      <c r="H254" s="340">
        <f t="shared" si="25"/>
        <v>41580000</v>
      </c>
      <c r="I254" s="43">
        <v>18000</v>
      </c>
      <c r="J254" s="44">
        <v>3000</v>
      </c>
      <c r="K254" s="32">
        <f t="shared" ref="K254:K312" si="27">I254*J254</f>
        <v>54000000</v>
      </c>
      <c r="L254" s="30">
        <f t="shared" si="26"/>
        <v>690</v>
      </c>
      <c r="M254" s="89" t="s">
        <v>536</v>
      </c>
      <c r="N254" s="341" t="s">
        <v>537</v>
      </c>
      <c r="O254" s="91"/>
      <c r="P254" s="116" t="s">
        <v>50</v>
      </c>
      <c r="Q254" s="115"/>
    </row>
    <row r="255" spans="1:21">
      <c r="A255" s="37">
        <v>188</v>
      </c>
      <c r="B255" s="37">
        <v>3</v>
      </c>
      <c r="C255" s="38" t="s">
        <v>538</v>
      </c>
      <c r="D255" s="37" t="s">
        <v>539</v>
      </c>
      <c r="E255" s="37" t="s">
        <v>47</v>
      </c>
      <c r="F255" s="342">
        <v>5</v>
      </c>
      <c r="G255" s="339">
        <f>262000*1.1</f>
        <v>288200</v>
      </c>
      <c r="H255" s="340">
        <f t="shared" si="25"/>
        <v>1441000</v>
      </c>
      <c r="I255" s="43">
        <v>5</v>
      </c>
      <c r="J255" s="44">
        <v>320000</v>
      </c>
      <c r="K255" s="32">
        <f t="shared" si="27"/>
        <v>1600000</v>
      </c>
      <c r="L255" s="30">
        <f t="shared" si="26"/>
        <v>31800</v>
      </c>
      <c r="M255" s="89" t="s">
        <v>540</v>
      </c>
      <c r="N255" s="341" t="s">
        <v>541</v>
      </c>
      <c r="O255" s="91"/>
      <c r="P255" s="116" t="s">
        <v>50</v>
      </c>
      <c r="Q255" s="115"/>
    </row>
    <row r="256" spans="1:21">
      <c r="A256" s="37">
        <v>189</v>
      </c>
      <c r="B256" s="37">
        <v>4</v>
      </c>
      <c r="C256" s="38" t="s">
        <v>542</v>
      </c>
      <c r="D256" s="37" t="s">
        <v>543</v>
      </c>
      <c r="E256" s="37" t="s">
        <v>47</v>
      </c>
      <c r="F256" s="342">
        <v>50</v>
      </c>
      <c r="G256" s="339">
        <f>170000*1.05</f>
        <v>178500</v>
      </c>
      <c r="H256" s="340">
        <f t="shared" si="25"/>
        <v>8925000</v>
      </c>
      <c r="I256" s="43">
        <v>50</v>
      </c>
      <c r="J256" s="44">
        <v>235000</v>
      </c>
      <c r="K256" s="32">
        <f t="shared" si="27"/>
        <v>11750000</v>
      </c>
      <c r="L256" s="30">
        <f t="shared" si="26"/>
        <v>56500</v>
      </c>
      <c r="M256" s="343" t="s">
        <v>544</v>
      </c>
      <c r="N256" s="341" t="s">
        <v>545</v>
      </c>
      <c r="O256" s="91"/>
      <c r="P256" s="116" t="s">
        <v>50</v>
      </c>
      <c r="Q256" s="115"/>
    </row>
    <row r="257" spans="1:29">
      <c r="A257" s="37">
        <v>190</v>
      </c>
      <c r="B257" s="37">
        <v>5</v>
      </c>
      <c r="C257" s="38" t="s">
        <v>546</v>
      </c>
      <c r="D257" s="37" t="s">
        <v>539</v>
      </c>
      <c r="E257" s="37" t="s">
        <v>47</v>
      </c>
      <c r="F257" s="342">
        <v>10</v>
      </c>
      <c r="G257" s="339">
        <f>1360000*1.1</f>
        <v>1496000.0000000002</v>
      </c>
      <c r="H257" s="340">
        <f t="shared" si="25"/>
        <v>14960000.000000002</v>
      </c>
      <c r="I257" s="43">
        <v>10</v>
      </c>
      <c r="J257" s="44">
        <v>1810000</v>
      </c>
      <c r="K257" s="32">
        <f t="shared" si="27"/>
        <v>18100000</v>
      </c>
      <c r="L257" s="30">
        <f t="shared" si="26"/>
        <v>313999.99999999977</v>
      </c>
      <c r="M257" s="89" t="s">
        <v>547</v>
      </c>
      <c r="N257" s="341" t="s">
        <v>548</v>
      </c>
      <c r="O257" s="91"/>
      <c r="P257" s="116" t="s">
        <v>50</v>
      </c>
      <c r="Q257" s="115"/>
    </row>
    <row r="258" spans="1:29">
      <c r="A258" s="37">
        <v>191</v>
      </c>
      <c r="B258" s="37">
        <v>6</v>
      </c>
      <c r="C258" s="38" t="s">
        <v>549</v>
      </c>
      <c r="D258" s="37" t="s">
        <v>531</v>
      </c>
      <c r="E258" s="37" t="s">
        <v>47</v>
      </c>
      <c r="F258" s="342">
        <v>500</v>
      </c>
      <c r="G258" s="339">
        <v>5460</v>
      </c>
      <c r="H258" s="340">
        <f t="shared" si="25"/>
        <v>2730000</v>
      </c>
      <c r="I258" s="43">
        <v>500</v>
      </c>
      <c r="J258" s="44">
        <v>7000</v>
      </c>
      <c r="K258" s="32">
        <f t="shared" si="27"/>
        <v>3500000</v>
      </c>
      <c r="L258" s="30">
        <f t="shared" si="26"/>
        <v>1540</v>
      </c>
      <c r="M258" s="89" t="s">
        <v>61</v>
      </c>
      <c r="N258" s="344" t="s">
        <v>550</v>
      </c>
      <c r="O258" s="91"/>
      <c r="P258" s="116" t="s">
        <v>50</v>
      </c>
      <c r="Q258" s="115"/>
    </row>
    <row r="259" spans="1:29">
      <c r="A259" s="37">
        <v>192</v>
      </c>
      <c r="B259" s="37">
        <v>7</v>
      </c>
      <c r="C259" s="38" t="s">
        <v>551</v>
      </c>
      <c r="D259" s="37" t="s">
        <v>552</v>
      </c>
      <c r="E259" s="37" t="s">
        <v>47</v>
      </c>
      <c r="F259" s="342">
        <v>200</v>
      </c>
      <c r="G259" s="339">
        <f>11200*1.05</f>
        <v>11760</v>
      </c>
      <c r="H259" s="340">
        <f t="shared" si="25"/>
        <v>2352000</v>
      </c>
      <c r="I259" s="43">
        <v>200</v>
      </c>
      <c r="J259" s="44">
        <v>17500</v>
      </c>
      <c r="K259" s="32">
        <f t="shared" si="27"/>
        <v>3500000</v>
      </c>
      <c r="L259" s="30">
        <f t="shared" si="26"/>
        <v>5740</v>
      </c>
      <c r="M259" s="89" t="s">
        <v>553</v>
      </c>
      <c r="N259" s="341" t="s">
        <v>554</v>
      </c>
      <c r="O259" s="91"/>
      <c r="P259" s="116" t="s">
        <v>50</v>
      </c>
      <c r="Q259" s="115"/>
    </row>
    <row r="260" spans="1:29" s="73" customFormat="1">
      <c r="A260" s="37">
        <v>193</v>
      </c>
      <c r="B260" s="37">
        <v>8</v>
      </c>
      <c r="C260" s="38" t="s">
        <v>555</v>
      </c>
      <c r="D260" s="37" t="s">
        <v>552</v>
      </c>
      <c r="E260" s="37" t="s">
        <v>47</v>
      </c>
      <c r="F260" s="342">
        <v>200</v>
      </c>
      <c r="G260" s="339">
        <f>6200*1.05</f>
        <v>6510</v>
      </c>
      <c r="H260" s="340">
        <f t="shared" si="25"/>
        <v>1302000</v>
      </c>
      <c r="I260" s="43">
        <v>200</v>
      </c>
      <c r="J260" s="44">
        <v>8500</v>
      </c>
      <c r="K260" s="32">
        <f t="shared" si="27"/>
        <v>1700000</v>
      </c>
      <c r="L260" s="30">
        <f t="shared" si="26"/>
        <v>1990</v>
      </c>
      <c r="M260" s="89" t="s">
        <v>553</v>
      </c>
      <c r="N260" s="341" t="s">
        <v>556</v>
      </c>
      <c r="O260" s="91"/>
      <c r="P260" s="116" t="s">
        <v>50</v>
      </c>
      <c r="Q260" s="115"/>
      <c r="R260" s="1024"/>
      <c r="S260" s="75"/>
      <c r="T260" s="71"/>
      <c r="U260" s="71"/>
      <c r="V260" s="71"/>
      <c r="W260" s="71"/>
      <c r="X260" s="71"/>
      <c r="Y260" s="71"/>
      <c r="Z260" s="71"/>
      <c r="AA260" s="71"/>
      <c r="AB260" s="71"/>
      <c r="AC260" s="71"/>
    </row>
    <row r="261" spans="1:29" s="73" customFormat="1" ht="18">
      <c r="A261" s="37">
        <v>194</v>
      </c>
      <c r="B261" s="37">
        <v>9</v>
      </c>
      <c r="C261" s="38" t="s">
        <v>557</v>
      </c>
      <c r="D261" s="37" t="s">
        <v>558</v>
      </c>
      <c r="E261" s="37" t="s">
        <v>47</v>
      </c>
      <c r="F261" s="338">
        <v>15000</v>
      </c>
      <c r="G261" s="339">
        <f>5600*1.05</f>
        <v>5880</v>
      </c>
      <c r="H261" s="340">
        <f t="shared" si="25"/>
        <v>88200000</v>
      </c>
      <c r="I261" s="43">
        <v>15000</v>
      </c>
      <c r="J261" s="44">
        <v>8000</v>
      </c>
      <c r="K261" s="32">
        <f t="shared" si="27"/>
        <v>120000000</v>
      </c>
      <c r="L261" s="30">
        <f t="shared" si="26"/>
        <v>2120</v>
      </c>
      <c r="M261" s="89" t="s">
        <v>559</v>
      </c>
      <c r="N261" s="344" t="s">
        <v>560</v>
      </c>
      <c r="O261" s="91"/>
      <c r="P261" s="116" t="s">
        <v>50</v>
      </c>
      <c r="Q261" s="115"/>
      <c r="R261" s="1024"/>
      <c r="S261" s="75"/>
      <c r="T261" s="71"/>
      <c r="U261" s="71"/>
      <c r="V261" s="71"/>
      <c r="W261" s="71"/>
      <c r="X261" s="71"/>
      <c r="Y261" s="71"/>
      <c r="Z261" s="71"/>
      <c r="AA261" s="71"/>
      <c r="AB261" s="71"/>
      <c r="AC261" s="71"/>
    </row>
    <row r="262" spans="1:29" s="73" customFormat="1">
      <c r="A262" s="37">
        <v>195</v>
      </c>
      <c r="B262" s="37">
        <v>10</v>
      </c>
      <c r="C262" s="38" t="s">
        <v>561</v>
      </c>
      <c r="D262" s="37" t="s">
        <v>562</v>
      </c>
      <c r="E262" s="37" t="s">
        <v>209</v>
      </c>
      <c r="F262" s="338">
        <v>1000</v>
      </c>
      <c r="G262" s="339">
        <f>1700*1.05</f>
        <v>1785</v>
      </c>
      <c r="H262" s="340">
        <f t="shared" si="25"/>
        <v>1785000</v>
      </c>
      <c r="I262" s="43">
        <v>1000</v>
      </c>
      <c r="J262" s="44">
        <v>2500</v>
      </c>
      <c r="K262" s="32">
        <f t="shared" si="27"/>
        <v>2500000</v>
      </c>
      <c r="L262" s="30">
        <f t="shared" si="26"/>
        <v>715</v>
      </c>
      <c r="M262" s="89" t="s">
        <v>563</v>
      </c>
      <c r="N262" s="341" t="s">
        <v>564</v>
      </c>
      <c r="O262" s="91"/>
      <c r="P262" s="116" t="s">
        <v>50</v>
      </c>
      <c r="Q262" s="115"/>
      <c r="R262" s="1024"/>
      <c r="S262" s="75"/>
      <c r="T262" s="71"/>
      <c r="U262" s="71"/>
      <c r="V262" s="71"/>
      <c r="W262" s="71"/>
      <c r="X262" s="71"/>
      <c r="Y262" s="71"/>
      <c r="Z262" s="71"/>
      <c r="AA262" s="71"/>
      <c r="AB262" s="71"/>
      <c r="AC262" s="71"/>
    </row>
    <row r="263" spans="1:29" s="73" customFormat="1" ht="18">
      <c r="A263" s="37">
        <v>196</v>
      </c>
      <c r="B263" s="37">
        <v>11</v>
      </c>
      <c r="C263" s="38" t="s">
        <v>565</v>
      </c>
      <c r="D263" s="37" t="s">
        <v>566</v>
      </c>
      <c r="E263" s="37" t="s">
        <v>192</v>
      </c>
      <c r="F263" s="338">
        <v>300000</v>
      </c>
      <c r="G263" s="339">
        <f>4200*1.05</f>
        <v>4410</v>
      </c>
      <c r="H263" s="340">
        <f t="shared" si="25"/>
        <v>1323000000</v>
      </c>
      <c r="I263" s="43">
        <v>300000</v>
      </c>
      <c r="J263" s="44">
        <v>5300</v>
      </c>
      <c r="K263" s="32">
        <f t="shared" si="27"/>
        <v>1590000000</v>
      </c>
      <c r="L263" s="30">
        <f t="shared" si="26"/>
        <v>890</v>
      </c>
      <c r="M263" s="89" t="s">
        <v>48</v>
      </c>
      <c r="N263" s="344" t="s">
        <v>567</v>
      </c>
      <c r="O263" s="91"/>
      <c r="P263" s="116" t="s">
        <v>50</v>
      </c>
      <c r="Q263" s="115"/>
      <c r="R263" s="1024"/>
      <c r="S263" s="75"/>
      <c r="T263" s="71"/>
      <c r="U263" s="71"/>
      <c r="V263" s="71"/>
      <c r="W263" s="71"/>
      <c r="X263" s="71"/>
      <c r="Y263" s="71"/>
      <c r="Z263" s="71"/>
      <c r="AA263" s="71"/>
      <c r="AB263" s="71"/>
      <c r="AC263" s="71"/>
    </row>
    <row r="264" spans="1:29" s="73" customFormat="1" ht="18">
      <c r="A264" s="37">
        <v>197</v>
      </c>
      <c r="B264" s="37">
        <v>12</v>
      </c>
      <c r="C264" s="38" t="s">
        <v>568</v>
      </c>
      <c r="D264" s="37" t="s">
        <v>569</v>
      </c>
      <c r="E264" s="37" t="s">
        <v>47</v>
      </c>
      <c r="F264" s="338">
        <v>10000</v>
      </c>
      <c r="G264" s="339">
        <f>14300*1.05</f>
        <v>15015</v>
      </c>
      <c r="H264" s="340">
        <f t="shared" si="25"/>
        <v>150150000</v>
      </c>
      <c r="I264" s="43">
        <v>10000</v>
      </c>
      <c r="J264" s="44">
        <v>18000</v>
      </c>
      <c r="K264" s="32">
        <f t="shared" si="27"/>
        <v>180000000</v>
      </c>
      <c r="L264" s="30">
        <f t="shared" si="26"/>
        <v>2985</v>
      </c>
      <c r="M264" s="89" t="s">
        <v>559</v>
      </c>
      <c r="N264" s="344" t="s">
        <v>570</v>
      </c>
      <c r="O264" s="91"/>
      <c r="P264" s="116" t="s">
        <v>50</v>
      </c>
      <c r="Q264" s="115"/>
      <c r="R264" s="1024"/>
      <c r="S264" s="75"/>
      <c r="T264" s="71"/>
      <c r="U264" s="71"/>
      <c r="V264" s="71"/>
      <c r="W264" s="71"/>
      <c r="X264" s="71"/>
      <c r="Y264" s="71"/>
      <c r="Z264" s="71"/>
      <c r="AA264" s="71"/>
      <c r="AB264" s="71"/>
      <c r="AC264" s="71"/>
    </row>
    <row r="265" spans="1:29" s="73" customFormat="1">
      <c r="A265" s="37">
        <v>198</v>
      </c>
      <c r="B265" s="37">
        <v>13</v>
      </c>
      <c r="C265" s="38" t="s">
        <v>571</v>
      </c>
      <c r="D265" s="37" t="s">
        <v>531</v>
      </c>
      <c r="E265" s="37" t="s">
        <v>47</v>
      </c>
      <c r="F265" s="342">
        <v>100</v>
      </c>
      <c r="G265" s="339">
        <f>38000*1.05</f>
        <v>39900</v>
      </c>
      <c r="H265" s="340">
        <f t="shared" si="25"/>
        <v>3990000</v>
      </c>
      <c r="I265" s="43">
        <v>100</v>
      </c>
      <c r="J265" s="44">
        <v>48000</v>
      </c>
      <c r="K265" s="32">
        <f t="shared" si="27"/>
        <v>4800000</v>
      </c>
      <c r="L265" s="30">
        <f t="shared" si="26"/>
        <v>8100</v>
      </c>
      <c r="M265" s="89" t="s">
        <v>572</v>
      </c>
      <c r="N265" s="341" t="s">
        <v>573</v>
      </c>
      <c r="O265" s="91"/>
      <c r="P265" s="116" t="s">
        <v>50</v>
      </c>
      <c r="Q265" s="115"/>
      <c r="R265" s="1024"/>
      <c r="S265" s="75"/>
      <c r="T265" s="71"/>
      <c r="U265" s="71"/>
      <c r="V265" s="71"/>
      <c r="W265" s="71"/>
      <c r="X265" s="71"/>
      <c r="Y265" s="71"/>
      <c r="Z265" s="71"/>
      <c r="AA265" s="71"/>
      <c r="AB265" s="71"/>
      <c r="AC265" s="71"/>
    </row>
    <row r="266" spans="1:29" s="73" customFormat="1">
      <c r="A266" s="37">
        <v>199</v>
      </c>
      <c r="B266" s="37">
        <v>14</v>
      </c>
      <c r="C266" s="38" t="s">
        <v>574</v>
      </c>
      <c r="D266" s="37" t="s">
        <v>575</v>
      </c>
      <c r="E266" s="37" t="s">
        <v>47</v>
      </c>
      <c r="F266" s="338">
        <v>2000</v>
      </c>
      <c r="G266" s="339">
        <f>630</f>
        <v>630</v>
      </c>
      <c r="H266" s="340">
        <f t="shared" si="25"/>
        <v>1260000</v>
      </c>
      <c r="I266" s="43">
        <v>2000</v>
      </c>
      <c r="J266" s="44">
        <v>1000</v>
      </c>
      <c r="K266" s="32">
        <f t="shared" si="27"/>
        <v>2000000</v>
      </c>
      <c r="L266" s="30">
        <f t="shared" si="26"/>
        <v>370</v>
      </c>
      <c r="M266" s="89" t="s">
        <v>576</v>
      </c>
      <c r="N266" s="345" t="s">
        <v>577</v>
      </c>
      <c r="O266" s="91"/>
      <c r="P266" s="116" t="s">
        <v>50</v>
      </c>
      <c r="Q266" s="115"/>
      <c r="R266" s="1024"/>
      <c r="S266" s="75"/>
      <c r="T266" s="71"/>
      <c r="U266" s="71"/>
      <c r="V266" s="71"/>
      <c r="W266" s="71"/>
      <c r="X266" s="71"/>
      <c r="Y266" s="71"/>
      <c r="Z266" s="71"/>
      <c r="AA266" s="71"/>
      <c r="AB266" s="71"/>
      <c r="AC266" s="71"/>
    </row>
    <row r="267" spans="1:29" s="73" customFormat="1">
      <c r="A267" s="37">
        <v>200</v>
      </c>
      <c r="B267" s="37">
        <v>15</v>
      </c>
      <c r="C267" s="38" t="s">
        <v>578</v>
      </c>
      <c r="D267" s="37" t="s">
        <v>579</v>
      </c>
      <c r="E267" s="37" t="s">
        <v>47</v>
      </c>
      <c r="F267" s="342">
        <v>700</v>
      </c>
      <c r="G267" s="339">
        <v>945</v>
      </c>
      <c r="H267" s="340">
        <f t="shared" si="25"/>
        <v>661500</v>
      </c>
      <c r="I267" s="43">
        <v>700</v>
      </c>
      <c r="J267" s="44">
        <v>1000</v>
      </c>
      <c r="K267" s="32">
        <f t="shared" si="27"/>
        <v>700000</v>
      </c>
      <c r="L267" s="30">
        <f t="shared" si="26"/>
        <v>55</v>
      </c>
      <c r="M267" s="89" t="s">
        <v>576</v>
      </c>
      <c r="N267" s="341" t="s">
        <v>580</v>
      </c>
      <c r="O267" s="91"/>
      <c r="P267" s="116" t="s">
        <v>50</v>
      </c>
      <c r="Q267" s="115"/>
      <c r="R267" s="1024"/>
      <c r="S267" s="75"/>
      <c r="T267" s="71"/>
      <c r="U267" s="71"/>
      <c r="V267" s="71"/>
      <c r="W267" s="71"/>
      <c r="X267" s="71"/>
      <c r="Y267" s="71"/>
      <c r="Z267" s="71"/>
      <c r="AA267" s="71"/>
      <c r="AB267" s="71"/>
      <c r="AC267" s="71"/>
    </row>
    <row r="268" spans="1:29" s="73" customFormat="1">
      <c r="A268" s="37">
        <v>201</v>
      </c>
      <c r="B268" s="37">
        <v>16</v>
      </c>
      <c r="C268" s="38" t="s">
        <v>581</v>
      </c>
      <c r="D268" s="37" t="s">
        <v>539</v>
      </c>
      <c r="E268" s="37" t="s">
        <v>47</v>
      </c>
      <c r="F268" s="342">
        <v>100</v>
      </c>
      <c r="G268" s="339">
        <f>120000*1.05</f>
        <v>126000</v>
      </c>
      <c r="H268" s="340">
        <f t="shared" si="25"/>
        <v>12600000</v>
      </c>
      <c r="I268" s="43">
        <v>100</v>
      </c>
      <c r="J268" s="44">
        <v>165000</v>
      </c>
      <c r="K268" s="32">
        <f t="shared" si="27"/>
        <v>16500000</v>
      </c>
      <c r="L268" s="30">
        <f t="shared" si="26"/>
        <v>39000</v>
      </c>
      <c r="M268" s="89" t="s">
        <v>582</v>
      </c>
      <c r="N268" s="341" t="s">
        <v>583</v>
      </c>
      <c r="O268" s="91"/>
      <c r="P268" s="116" t="s">
        <v>50</v>
      </c>
      <c r="Q268" s="115"/>
      <c r="R268" s="1024"/>
      <c r="S268" s="75"/>
      <c r="T268" s="71"/>
      <c r="U268" s="71"/>
      <c r="V268" s="71"/>
      <c r="W268" s="71"/>
      <c r="X268" s="71"/>
      <c r="Y268" s="71"/>
      <c r="Z268" s="71"/>
      <c r="AA268" s="71"/>
      <c r="AB268" s="71"/>
      <c r="AC268" s="71"/>
    </row>
    <row r="269" spans="1:29" s="73" customFormat="1">
      <c r="A269" s="37">
        <v>202</v>
      </c>
      <c r="B269" s="37">
        <v>17</v>
      </c>
      <c r="C269" s="346" t="s">
        <v>584</v>
      </c>
      <c r="D269" s="37" t="s">
        <v>224</v>
      </c>
      <c r="E269" s="37" t="s">
        <v>260</v>
      </c>
      <c r="F269" s="342">
        <v>500</v>
      </c>
      <c r="G269" s="339">
        <f>15200*1.1</f>
        <v>16720</v>
      </c>
      <c r="H269" s="340">
        <f t="shared" si="25"/>
        <v>8360000</v>
      </c>
      <c r="I269" s="43">
        <v>500</v>
      </c>
      <c r="J269" s="44">
        <v>22000</v>
      </c>
      <c r="K269" s="32">
        <f t="shared" si="27"/>
        <v>11000000</v>
      </c>
      <c r="L269" s="30">
        <f t="shared" si="26"/>
        <v>5280</v>
      </c>
      <c r="M269" s="343" t="s">
        <v>585</v>
      </c>
      <c r="N269" s="341" t="s">
        <v>586</v>
      </c>
      <c r="O269" s="91"/>
      <c r="P269" s="116" t="s">
        <v>50</v>
      </c>
      <c r="Q269" s="115"/>
      <c r="R269" s="1024"/>
      <c r="S269" s="75"/>
      <c r="T269" s="71"/>
      <c r="U269" s="71"/>
      <c r="V269" s="71"/>
      <c r="W269" s="71"/>
      <c r="X269" s="71"/>
      <c r="Y269" s="71"/>
      <c r="Z269" s="71"/>
      <c r="AA269" s="71"/>
      <c r="AB269" s="71"/>
      <c r="AC269" s="71"/>
    </row>
    <row r="270" spans="1:29" s="73" customFormat="1">
      <c r="A270" s="37">
        <v>203</v>
      </c>
      <c r="B270" s="37">
        <v>18</v>
      </c>
      <c r="C270" s="38" t="s">
        <v>587</v>
      </c>
      <c r="D270" s="37" t="s">
        <v>588</v>
      </c>
      <c r="E270" s="37" t="s">
        <v>589</v>
      </c>
      <c r="F270" s="338">
        <v>1200</v>
      </c>
      <c r="G270" s="339">
        <f>33000</f>
        <v>33000</v>
      </c>
      <c r="H270" s="340">
        <f t="shared" si="25"/>
        <v>39600000</v>
      </c>
      <c r="I270" s="43">
        <v>1200</v>
      </c>
      <c r="J270" s="44">
        <v>48000</v>
      </c>
      <c r="K270" s="32">
        <f t="shared" si="27"/>
        <v>57600000</v>
      </c>
      <c r="L270" s="30">
        <f t="shared" si="26"/>
        <v>15000</v>
      </c>
      <c r="M270" s="343" t="s">
        <v>585</v>
      </c>
      <c r="N270" s="341" t="s">
        <v>586</v>
      </c>
      <c r="O270" s="91"/>
      <c r="P270" s="116" t="s">
        <v>50</v>
      </c>
      <c r="Q270" s="115"/>
      <c r="R270" s="1024"/>
      <c r="S270" s="75"/>
      <c r="T270" s="71"/>
      <c r="U270" s="71"/>
      <c r="V270" s="71"/>
      <c r="W270" s="71"/>
      <c r="X270" s="71"/>
      <c r="Y270" s="71"/>
      <c r="Z270" s="71"/>
      <c r="AA270" s="71"/>
      <c r="AB270" s="71"/>
      <c r="AC270" s="71"/>
    </row>
    <row r="271" spans="1:29" s="73" customFormat="1">
      <c r="A271" s="37">
        <v>204</v>
      </c>
      <c r="B271" s="37">
        <v>19</v>
      </c>
      <c r="C271" s="38" t="s">
        <v>590</v>
      </c>
      <c r="D271" s="37" t="s">
        <v>588</v>
      </c>
      <c r="E271" s="37" t="s">
        <v>589</v>
      </c>
      <c r="F271" s="342">
        <v>20</v>
      </c>
      <c r="G271" s="339">
        <v>220000</v>
      </c>
      <c r="H271" s="340">
        <f t="shared" si="25"/>
        <v>4400000</v>
      </c>
      <c r="I271" s="43">
        <v>20</v>
      </c>
      <c r="J271" s="44">
        <v>365000</v>
      </c>
      <c r="K271" s="32">
        <f t="shared" si="27"/>
        <v>7300000</v>
      </c>
      <c r="L271" s="30">
        <f t="shared" si="26"/>
        <v>145000</v>
      </c>
      <c r="M271" s="89" t="s">
        <v>591</v>
      </c>
      <c r="N271" s="341" t="s">
        <v>586</v>
      </c>
      <c r="O271" s="91"/>
      <c r="P271" s="116" t="s">
        <v>50</v>
      </c>
      <c r="Q271" s="115"/>
      <c r="R271" s="1024"/>
      <c r="S271" s="75"/>
      <c r="T271" s="71"/>
      <c r="U271" s="71"/>
      <c r="V271" s="71"/>
      <c r="W271" s="71"/>
      <c r="X271" s="71"/>
      <c r="Y271" s="71"/>
      <c r="Z271" s="71"/>
      <c r="AA271" s="71"/>
      <c r="AB271" s="71"/>
      <c r="AC271" s="71"/>
    </row>
    <row r="272" spans="1:29" s="73" customFormat="1">
      <c r="A272" s="37">
        <v>205</v>
      </c>
      <c r="B272" s="37">
        <v>20</v>
      </c>
      <c r="C272" s="38" t="s">
        <v>592</v>
      </c>
      <c r="D272" s="37" t="s">
        <v>588</v>
      </c>
      <c r="E272" s="37" t="s">
        <v>589</v>
      </c>
      <c r="F272" s="342">
        <v>50</v>
      </c>
      <c r="G272" s="339">
        <v>176000</v>
      </c>
      <c r="H272" s="340">
        <f t="shared" si="25"/>
        <v>8800000</v>
      </c>
      <c r="I272" s="43">
        <v>50</v>
      </c>
      <c r="J272" s="44">
        <v>230000</v>
      </c>
      <c r="K272" s="32">
        <f t="shared" si="27"/>
        <v>11500000</v>
      </c>
      <c r="L272" s="30">
        <f t="shared" si="26"/>
        <v>54000</v>
      </c>
      <c r="M272" s="343" t="s">
        <v>593</v>
      </c>
      <c r="N272" s="341" t="s">
        <v>586</v>
      </c>
      <c r="O272" s="91"/>
      <c r="P272" s="116" t="s">
        <v>50</v>
      </c>
      <c r="Q272" s="115"/>
      <c r="R272" s="1024"/>
      <c r="S272" s="75"/>
      <c r="T272" s="71"/>
      <c r="U272" s="71"/>
      <c r="V272" s="71"/>
      <c r="W272" s="71"/>
      <c r="X272" s="71"/>
      <c r="Y272" s="71"/>
      <c r="Z272" s="71"/>
      <c r="AA272" s="71"/>
      <c r="AB272" s="71"/>
      <c r="AC272" s="71"/>
    </row>
    <row r="273" spans="1:29" s="73" customFormat="1">
      <c r="A273" s="37">
        <v>206</v>
      </c>
      <c r="B273" s="37">
        <v>21</v>
      </c>
      <c r="C273" s="38" t="s">
        <v>594</v>
      </c>
      <c r="D273" s="37" t="s">
        <v>224</v>
      </c>
      <c r="E273" s="37" t="s">
        <v>260</v>
      </c>
      <c r="F273" s="342">
        <v>700</v>
      </c>
      <c r="G273" s="339">
        <f>143000*1.1</f>
        <v>157300</v>
      </c>
      <c r="H273" s="340">
        <f t="shared" si="25"/>
        <v>110110000</v>
      </c>
      <c r="I273" s="43">
        <v>700</v>
      </c>
      <c r="J273" s="44">
        <v>215000</v>
      </c>
      <c r="K273" s="32">
        <f t="shared" si="27"/>
        <v>150500000</v>
      </c>
      <c r="L273" s="30">
        <f t="shared" si="26"/>
        <v>57700</v>
      </c>
      <c r="M273" s="89" t="s">
        <v>595</v>
      </c>
      <c r="N273" s="341" t="s">
        <v>596</v>
      </c>
      <c r="O273" s="91"/>
      <c r="P273" s="116" t="s">
        <v>50</v>
      </c>
      <c r="Q273" s="115"/>
      <c r="R273" s="1024"/>
      <c r="S273" s="75"/>
      <c r="T273" s="71"/>
      <c r="U273" s="71"/>
      <c r="V273" s="71"/>
      <c r="W273" s="71"/>
      <c r="X273" s="71"/>
      <c r="Y273" s="71"/>
      <c r="Z273" s="71"/>
      <c r="AA273" s="71"/>
      <c r="AB273" s="71"/>
      <c r="AC273" s="71"/>
    </row>
    <row r="274" spans="1:29" s="73" customFormat="1">
      <c r="A274" s="37">
        <v>207</v>
      </c>
      <c r="B274" s="37">
        <v>22</v>
      </c>
      <c r="C274" s="38" t="s">
        <v>597</v>
      </c>
      <c r="D274" s="37"/>
      <c r="E274" s="37" t="s">
        <v>435</v>
      </c>
      <c r="F274" s="342">
        <v>5</v>
      </c>
      <c r="G274" s="339">
        <f>294000*1.1</f>
        <v>323400</v>
      </c>
      <c r="H274" s="340">
        <f t="shared" si="25"/>
        <v>1617000</v>
      </c>
      <c r="I274" s="43">
        <v>5</v>
      </c>
      <c r="J274" s="44">
        <v>380000</v>
      </c>
      <c r="K274" s="32">
        <f t="shared" si="27"/>
        <v>1900000</v>
      </c>
      <c r="L274" s="30">
        <f t="shared" si="26"/>
        <v>56600</v>
      </c>
      <c r="M274" s="89" t="s">
        <v>598</v>
      </c>
      <c r="N274" s="341" t="s">
        <v>599</v>
      </c>
      <c r="O274" s="91"/>
      <c r="P274" s="116" t="s">
        <v>50</v>
      </c>
      <c r="Q274" s="115"/>
      <c r="R274" s="1024"/>
      <c r="S274" s="75"/>
      <c r="T274" s="71"/>
      <c r="U274" s="71"/>
      <c r="V274" s="71"/>
      <c r="W274" s="71"/>
      <c r="X274" s="71"/>
      <c r="Y274" s="71"/>
      <c r="Z274" s="71"/>
      <c r="AA274" s="71"/>
      <c r="AB274" s="71"/>
      <c r="AC274" s="71"/>
    </row>
    <row r="275" spans="1:29" s="73" customFormat="1" ht="18">
      <c r="A275" s="37">
        <v>208</v>
      </c>
      <c r="B275" s="37">
        <v>23</v>
      </c>
      <c r="C275" s="38" t="s">
        <v>600</v>
      </c>
      <c r="D275" s="37" t="s">
        <v>601</v>
      </c>
      <c r="E275" s="37" t="s">
        <v>435</v>
      </c>
      <c r="F275" s="342">
        <v>40</v>
      </c>
      <c r="G275" s="339">
        <f>2180000*1.1</f>
        <v>2398000</v>
      </c>
      <c r="H275" s="340">
        <f t="shared" si="25"/>
        <v>95920000</v>
      </c>
      <c r="I275" s="43">
        <v>40</v>
      </c>
      <c r="J275" s="44">
        <v>2900000</v>
      </c>
      <c r="K275" s="32">
        <f t="shared" si="27"/>
        <v>116000000</v>
      </c>
      <c r="L275" s="30">
        <f t="shared" si="26"/>
        <v>502000</v>
      </c>
      <c r="M275" s="89" t="s">
        <v>595</v>
      </c>
      <c r="N275" s="341" t="s">
        <v>602</v>
      </c>
      <c r="O275" s="91"/>
      <c r="P275" s="116" t="s">
        <v>50</v>
      </c>
      <c r="Q275" s="115"/>
      <c r="R275" s="1024"/>
      <c r="S275" s="75"/>
      <c r="T275" s="71"/>
      <c r="U275" s="71"/>
      <c r="V275" s="71"/>
      <c r="W275" s="71"/>
      <c r="X275" s="71"/>
      <c r="Y275" s="71"/>
      <c r="Z275" s="71"/>
      <c r="AA275" s="71"/>
      <c r="AB275" s="71"/>
      <c r="AC275" s="71"/>
    </row>
    <row r="276" spans="1:29" s="73" customFormat="1">
      <c r="A276" s="37">
        <v>209</v>
      </c>
      <c r="B276" s="37">
        <v>24</v>
      </c>
      <c r="C276" s="38" t="s">
        <v>603</v>
      </c>
      <c r="D276" s="37" t="s">
        <v>539</v>
      </c>
      <c r="E276" s="37" t="s">
        <v>47</v>
      </c>
      <c r="F276" s="342">
        <v>10</v>
      </c>
      <c r="G276" s="339">
        <f>248000*1.05</f>
        <v>260400</v>
      </c>
      <c r="H276" s="340">
        <f t="shared" si="25"/>
        <v>2604000</v>
      </c>
      <c r="I276" s="43">
        <v>10</v>
      </c>
      <c r="J276" s="44">
        <v>350000</v>
      </c>
      <c r="K276" s="32">
        <f t="shared" si="27"/>
        <v>3500000</v>
      </c>
      <c r="L276" s="30">
        <f t="shared" si="26"/>
        <v>89600</v>
      </c>
      <c r="M276" s="89" t="s">
        <v>572</v>
      </c>
      <c r="N276" s="341" t="s">
        <v>604</v>
      </c>
      <c r="O276" s="91"/>
      <c r="P276" s="116" t="s">
        <v>50</v>
      </c>
      <c r="Q276" s="115"/>
      <c r="R276" s="1024"/>
      <c r="S276" s="75"/>
      <c r="T276" s="71"/>
      <c r="U276" s="71"/>
      <c r="V276" s="71"/>
      <c r="W276" s="71"/>
      <c r="X276" s="71"/>
      <c r="Y276" s="71"/>
      <c r="Z276" s="71"/>
      <c r="AA276" s="71"/>
      <c r="AB276" s="71"/>
      <c r="AC276" s="71"/>
    </row>
    <row r="277" spans="1:29" s="73" customFormat="1">
      <c r="A277" s="37">
        <v>210</v>
      </c>
      <c r="B277" s="37">
        <v>25</v>
      </c>
      <c r="C277" s="38" t="s">
        <v>605</v>
      </c>
      <c r="D277" s="37" t="s">
        <v>539</v>
      </c>
      <c r="E277" s="37" t="s">
        <v>47</v>
      </c>
      <c r="F277" s="342">
        <v>10</v>
      </c>
      <c r="G277" s="339">
        <f>618000*1.05</f>
        <v>648900</v>
      </c>
      <c r="H277" s="340">
        <f t="shared" si="25"/>
        <v>6489000</v>
      </c>
      <c r="I277" s="43">
        <v>10</v>
      </c>
      <c r="J277" s="44">
        <v>710000</v>
      </c>
      <c r="K277" s="32">
        <f t="shared" si="27"/>
        <v>7100000</v>
      </c>
      <c r="L277" s="30">
        <f t="shared" si="26"/>
        <v>61100</v>
      </c>
      <c r="M277" s="89" t="s">
        <v>572</v>
      </c>
      <c r="N277" s="341" t="s">
        <v>606</v>
      </c>
      <c r="O277" s="91"/>
      <c r="P277" s="116" t="s">
        <v>50</v>
      </c>
      <c r="Q277" s="115"/>
      <c r="R277" s="1024"/>
      <c r="S277" s="75"/>
      <c r="T277" s="71"/>
      <c r="U277" s="71"/>
      <c r="V277" s="71"/>
      <c r="W277" s="71"/>
      <c r="X277" s="71"/>
      <c r="Y277" s="71"/>
      <c r="Z277" s="71"/>
      <c r="AA277" s="71"/>
      <c r="AB277" s="71"/>
      <c r="AC277" s="71"/>
    </row>
    <row r="278" spans="1:29" s="73" customFormat="1">
      <c r="A278" s="37">
        <v>211</v>
      </c>
      <c r="B278" s="37">
        <v>26</v>
      </c>
      <c r="C278" s="38" t="s">
        <v>607</v>
      </c>
      <c r="D278" s="37" t="s">
        <v>531</v>
      </c>
      <c r="E278" s="37" t="s">
        <v>47</v>
      </c>
      <c r="F278" s="342">
        <v>50</v>
      </c>
      <c r="G278" s="339">
        <f>26800*1.05</f>
        <v>28140</v>
      </c>
      <c r="H278" s="340">
        <f t="shared" si="25"/>
        <v>1407000</v>
      </c>
      <c r="I278" s="43">
        <v>50</v>
      </c>
      <c r="J278" s="44">
        <v>45000</v>
      </c>
      <c r="K278" s="32">
        <f t="shared" si="27"/>
        <v>2250000</v>
      </c>
      <c r="L278" s="30">
        <f t="shared" si="26"/>
        <v>16860</v>
      </c>
      <c r="M278" s="89" t="s">
        <v>572</v>
      </c>
      <c r="N278" s="341" t="s">
        <v>608</v>
      </c>
      <c r="O278" s="91"/>
      <c r="P278" s="116" t="s">
        <v>50</v>
      </c>
      <c r="Q278" s="115"/>
      <c r="R278" s="1024"/>
      <c r="S278" s="75"/>
      <c r="T278" s="71"/>
      <c r="U278" s="71"/>
      <c r="V278" s="71"/>
      <c r="W278" s="71"/>
      <c r="X278" s="71"/>
      <c r="Y278" s="71"/>
      <c r="Z278" s="71"/>
      <c r="AA278" s="71"/>
      <c r="AB278" s="71"/>
      <c r="AC278" s="71"/>
    </row>
    <row r="279" spans="1:29" s="73" customFormat="1">
      <c r="A279" s="37">
        <v>212</v>
      </c>
      <c r="B279" s="37">
        <v>27</v>
      </c>
      <c r="C279" s="38" t="s">
        <v>609</v>
      </c>
      <c r="D279" s="37" t="s">
        <v>531</v>
      </c>
      <c r="E279" s="37" t="s">
        <v>47</v>
      </c>
      <c r="F279" s="342">
        <v>100</v>
      </c>
      <c r="G279" s="339">
        <f>24200*1.05</f>
        <v>25410</v>
      </c>
      <c r="H279" s="340">
        <f t="shared" si="25"/>
        <v>2541000</v>
      </c>
      <c r="I279" s="43">
        <v>100</v>
      </c>
      <c r="J279" s="44">
        <v>34000</v>
      </c>
      <c r="K279" s="32">
        <f t="shared" si="27"/>
        <v>3400000</v>
      </c>
      <c r="L279" s="30">
        <f t="shared" si="26"/>
        <v>8590</v>
      </c>
      <c r="M279" s="89" t="s">
        <v>572</v>
      </c>
      <c r="N279" s="341" t="s">
        <v>608</v>
      </c>
      <c r="O279" s="91"/>
      <c r="P279" s="116" t="s">
        <v>50</v>
      </c>
      <c r="Q279" s="115"/>
      <c r="R279" s="1024"/>
      <c r="S279" s="75"/>
      <c r="T279" s="71"/>
      <c r="U279" s="71"/>
      <c r="V279" s="71"/>
      <c r="W279" s="71"/>
      <c r="X279" s="71"/>
      <c r="Y279" s="71"/>
      <c r="Z279" s="71"/>
      <c r="AA279" s="71"/>
      <c r="AB279" s="71"/>
      <c r="AC279" s="71"/>
    </row>
    <row r="280" spans="1:29" s="73" customFormat="1" ht="18">
      <c r="A280" s="37">
        <v>213</v>
      </c>
      <c r="B280" s="37">
        <v>28</v>
      </c>
      <c r="C280" s="38" t="s">
        <v>610</v>
      </c>
      <c r="D280" s="37" t="s">
        <v>539</v>
      </c>
      <c r="E280" s="37" t="s">
        <v>47</v>
      </c>
      <c r="F280" s="342">
        <v>100</v>
      </c>
      <c r="G280" s="339">
        <f>385000*1.05</f>
        <v>404250</v>
      </c>
      <c r="H280" s="340">
        <f t="shared" si="25"/>
        <v>40425000</v>
      </c>
      <c r="I280" s="43">
        <v>100</v>
      </c>
      <c r="J280" s="44">
        <v>450000</v>
      </c>
      <c r="K280" s="32">
        <f t="shared" si="27"/>
        <v>45000000</v>
      </c>
      <c r="L280" s="30">
        <f t="shared" si="26"/>
        <v>45750</v>
      </c>
      <c r="M280" s="89" t="s">
        <v>582</v>
      </c>
      <c r="N280" s="341" t="s">
        <v>611</v>
      </c>
      <c r="O280" s="91"/>
      <c r="P280" s="116" t="s">
        <v>50</v>
      </c>
      <c r="Q280" s="115"/>
      <c r="R280" s="1024"/>
      <c r="S280" s="75"/>
      <c r="T280" s="71"/>
      <c r="U280" s="71"/>
      <c r="V280" s="71"/>
      <c r="W280" s="71"/>
      <c r="X280" s="71"/>
      <c r="Y280" s="71"/>
      <c r="Z280" s="71"/>
      <c r="AA280" s="71"/>
      <c r="AB280" s="71"/>
      <c r="AC280" s="71"/>
    </row>
    <row r="281" spans="1:29" s="73" customFormat="1">
      <c r="A281" s="37">
        <v>214</v>
      </c>
      <c r="B281" s="37">
        <v>29</v>
      </c>
      <c r="C281" s="38" t="s">
        <v>612</v>
      </c>
      <c r="D281" s="37" t="s">
        <v>531</v>
      </c>
      <c r="E281" s="37" t="s">
        <v>209</v>
      </c>
      <c r="F281" s="342">
        <v>100</v>
      </c>
      <c r="G281" s="339">
        <f>35000*1.05</f>
        <v>36750</v>
      </c>
      <c r="H281" s="340">
        <f t="shared" si="25"/>
        <v>3675000</v>
      </c>
      <c r="I281" s="43">
        <v>100</v>
      </c>
      <c r="J281" s="44">
        <v>48000</v>
      </c>
      <c r="K281" s="32">
        <f t="shared" si="27"/>
        <v>4800000</v>
      </c>
      <c r="L281" s="30">
        <f t="shared" si="26"/>
        <v>11250</v>
      </c>
      <c r="M281" s="343" t="s">
        <v>613</v>
      </c>
      <c r="N281" s="341" t="s">
        <v>614</v>
      </c>
      <c r="O281" s="91"/>
      <c r="P281" s="116" t="s">
        <v>50</v>
      </c>
      <c r="Q281" s="115"/>
      <c r="R281" s="1024"/>
      <c r="S281" s="75"/>
      <c r="T281" s="71"/>
      <c r="U281" s="71"/>
      <c r="V281" s="71"/>
      <c r="W281" s="71"/>
      <c r="X281" s="71"/>
      <c r="Y281" s="71"/>
      <c r="Z281" s="71"/>
      <c r="AA281" s="71"/>
      <c r="AB281" s="71"/>
      <c r="AC281" s="71"/>
    </row>
    <row r="282" spans="1:29" s="73" customFormat="1">
      <c r="A282" s="37">
        <v>215</v>
      </c>
      <c r="B282" s="37">
        <v>30</v>
      </c>
      <c r="C282" s="38" t="s">
        <v>615</v>
      </c>
      <c r="D282" s="37" t="s">
        <v>531</v>
      </c>
      <c r="E282" s="37" t="s">
        <v>209</v>
      </c>
      <c r="F282" s="342">
        <v>30</v>
      </c>
      <c r="G282" s="339">
        <f>27000*1.05</f>
        <v>28350</v>
      </c>
      <c r="H282" s="340">
        <f t="shared" si="25"/>
        <v>850500</v>
      </c>
      <c r="I282" s="43">
        <v>30</v>
      </c>
      <c r="J282" s="44">
        <v>38000</v>
      </c>
      <c r="K282" s="32">
        <f t="shared" si="27"/>
        <v>1140000</v>
      </c>
      <c r="L282" s="30">
        <f t="shared" si="26"/>
        <v>9650</v>
      </c>
      <c r="M282" s="89" t="s">
        <v>572</v>
      </c>
      <c r="N282" s="345" t="s">
        <v>616</v>
      </c>
      <c r="O282" s="91"/>
      <c r="P282" s="116" t="s">
        <v>50</v>
      </c>
      <c r="Q282" s="115"/>
      <c r="R282" s="1024"/>
      <c r="S282" s="75"/>
      <c r="T282" s="71"/>
      <c r="U282" s="71"/>
      <c r="V282" s="71"/>
      <c r="W282" s="71"/>
      <c r="X282" s="71"/>
      <c r="Y282" s="71"/>
      <c r="Z282" s="71"/>
      <c r="AA282" s="71"/>
      <c r="AB282" s="71"/>
      <c r="AC282" s="71"/>
    </row>
    <row r="283" spans="1:29" s="73" customFormat="1">
      <c r="A283" s="37">
        <v>216</v>
      </c>
      <c r="B283" s="37">
        <v>31</v>
      </c>
      <c r="C283" s="38" t="s">
        <v>617</v>
      </c>
      <c r="D283" s="37" t="s">
        <v>531</v>
      </c>
      <c r="E283" s="37" t="s">
        <v>47</v>
      </c>
      <c r="F283" s="342">
        <v>300</v>
      </c>
      <c r="G283" s="339">
        <f>13000*1.05</f>
        <v>13650</v>
      </c>
      <c r="H283" s="340">
        <f t="shared" si="25"/>
        <v>4095000</v>
      </c>
      <c r="I283" s="43">
        <v>300</v>
      </c>
      <c r="J283" s="44">
        <v>20000</v>
      </c>
      <c r="K283" s="32">
        <f t="shared" si="27"/>
        <v>6000000</v>
      </c>
      <c r="L283" s="30">
        <f t="shared" si="26"/>
        <v>6350</v>
      </c>
      <c r="M283" s="89" t="s">
        <v>618</v>
      </c>
      <c r="N283" s="345" t="s">
        <v>619</v>
      </c>
      <c r="O283" s="91"/>
      <c r="P283" s="116" t="s">
        <v>50</v>
      </c>
      <c r="Q283" s="115"/>
      <c r="R283" s="1024"/>
      <c r="S283" s="75"/>
      <c r="T283" s="71"/>
      <c r="U283" s="71"/>
      <c r="V283" s="71"/>
      <c r="W283" s="71"/>
      <c r="X283" s="71"/>
      <c r="Y283" s="71"/>
      <c r="Z283" s="71"/>
      <c r="AA283" s="71"/>
      <c r="AB283" s="71"/>
      <c r="AC283" s="71"/>
    </row>
    <row r="284" spans="1:29" s="73" customFormat="1">
      <c r="A284" s="37">
        <v>217</v>
      </c>
      <c r="B284" s="37">
        <v>32</v>
      </c>
      <c r="C284" s="38" t="s">
        <v>620</v>
      </c>
      <c r="D284" s="37" t="s">
        <v>531</v>
      </c>
      <c r="E284" s="37" t="s">
        <v>47</v>
      </c>
      <c r="F284" s="342">
        <v>100</v>
      </c>
      <c r="G284" s="339">
        <f>29000*1.05</f>
        <v>30450</v>
      </c>
      <c r="H284" s="340">
        <f t="shared" si="25"/>
        <v>3045000</v>
      </c>
      <c r="I284" s="43">
        <v>100</v>
      </c>
      <c r="J284" s="44">
        <v>48000</v>
      </c>
      <c r="K284" s="32">
        <f t="shared" si="27"/>
        <v>4800000</v>
      </c>
      <c r="L284" s="30">
        <f t="shared" si="26"/>
        <v>17550</v>
      </c>
      <c r="M284" s="89" t="s">
        <v>618</v>
      </c>
      <c r="N284" s="345" t="s">
        <v>619</v>
      </c>
      <c r="O284" s="91"/>
      <c r="P284" s="116" t="s">
        <v>50</v>
      </c>
      <c r="Q284" s="115"/>
      <c r="R284" s="1024"/>
      <c r="S284" s="75"/>
      <c r="T284" s="71"/>
      <c r="U284" s="71"/>
      <c r="V284" s="71"/>
      <c r="W284" s="71"/>
      <c r="X284" s="71"/>
      <c r="Y284" s="71"/>
      <c r="Z284" s="71"/>
      <c r="AA284" s="71"/>
      <c r="AB284" s="71"/>
      <c r="AC284" s="71"/>
    </row>
    <row r="285" spans="1:29" s="73" customFormat="1">
      <c r="A285" s="37">
        <v>218</v>
      </c>
      <c r="B285" s="37">
        <v>33</v>
      </c>
      <c r="C285" s="38" t="s">
        <v>621</v>
      </c>
      <c r="D285" s="37" t="s">
        <v>531</v>
      </c>
      <c r="E285" s="37" t="s">
        <v>47</v>
      </c>
      <c r="F285" s="342">
        <v>100</v>
      </c>
      <c r="G285" s="339">
        <f>34000*1.05</f>
        <v>35700</v>
      </c>
      <c r="H285" s="340">
        <f t="shared" si="25"/>
        <v>3570000</v>
      </c>
      <c r="I285" s="43">
        <v>100</v>
      </c>
      <c r="J285" s="44">
        <v>40000</v>
      </c>
      <c r="K285" s="32">
        <f t="shared" si="27"/>
        <v>4000000</v>
      </c>
      <c r="L285" s="30">
        <f t="shared" si="26"/>
        <v>4300</v>
      </c>
      <c r="M285" s="89" t="s">
        <v>622</v>
      </c>
      <c r="N285" s="341" t="s">
        <v>623</v>
      </c>
      <c r="O285" s="91"/>
      <c r="P285" s="116" t="s">
        <v>50</v>
      </c>
      <c r="Q285" s="115"/>
      <c r="R285" s="1024"/>
      <c r="S285" s="75"/>
      <c r="T285" s="71"/>
      <c r="U285" s="71"/>
      <c r="V285" s="71"/>
      <c r="W285" s="71"/>
      <c r="X285" s="71"/>
      <c r="Y285" s="71"/>
      <c r="Z285" s="71"/>
      <c r="AA285" s="71"/>
      <c r="AB285" s="71"/>
      <c r="AC285" s="71"/>
    </row>
    <row r="286" spans="1:29" s="73" customFormat="1">
      <c r="A286" s="37">
        <v>219</v>
      </c>
      <c r="B286" s="37">
        <v>34</v>
      </c>
      <c r="C286" s="38" t="s">
        <v>624</v>
      </c>
      <c r="D286" s="37" t="s">
        <v>531</v>
      </c>
      <c r="E286" s="37" t="s">
        <v>47</v>
      </c>
      <c r="F286" s="342">
        <v>30</v>
      </c>
      <c r="G286" s="339">
        <f>54000*1.05</f>
        <v>56700</v>
      </c>
      <c r="H286" s="340">
        <f t="shared" si="25"/>
        <v>1701000</v>
      </c>
      <c r="I286" s="43">
        <v>30</v>
      </c>
      <c r="J286" s="44">
        <v>70000</v>
      </c>
      <c r="K286" s="32">
        <f t="shared" si="27"/>
        <v>2100000</v>
      </c>
      <c r="L286" s="30">
        <f t="shared" si="26"/>
        <v>13300</v>
      </c>
      <c r="M286" s="89" t="s">
        <v>572</v>
      </c>
      <c r="N286" s="341" t="s">
        <v>625</v>
      </c>
      <c r="O286" s="91"/>
      <c r="P286" s="116" t="s">
        <v>50</v>
      </c>
      <c r="Q286" s="115"/>
      <c r="R286" s="1024"/>
      <c r="S286" s="75"/>
      <c r="T286" s="71"/>
      <c r="U286" s="71"/>
      <c r="V286" s="71"/>
      <c r="W286" s="71"/>
      <c r="X286" s="71"/>
      <c r="Y286" s="71"/>
      <c r="Z286" s="71"/>
      <c r="AA286" s="71"/>
      <c r="AB286" s="71"/>
      <c r="AC286" s="71"/>
    </row>
    <row r="287" spans="1:29" s="73" customFormat="1">
      <c r="A287" s="37">
        <v>220</v>
      </c>
      <c r="B287" s="37">
        <v>35</v>
      </c>
      <c r="C287" s="38" t="s">
        <v>626</v>
      </c>
      <c r="D287" s="37" t="s">
        <v>531</v>
      </c>
      <c r="E287" s="37" t="s">
        <v>47</v>
      </c>
      <c r="F287" s="342">
        <v>50</v>
      </c>
      <c r="G287" s="339">
        <f>66000</f>
        <v>66000</v>
      </c>
      <c r="H287" s="340">
        <f t="shared" si="25"/>
        <v>3300000</v>
      </c>
      <c r="I287" s="43">
        <v>50</v>
      </c>
      <c r="J287" s="44">
        <v>75000</v>
      </c>
      <c r="K287" s="32">
        <f t="shared" si="27"/>
        <v>3750000</v>
      </c>
      <c r="L287" s="30">
        <f t="shared" si="26"/>
        <v>9000</v>
      </c>
      <c r="M287" s="89" t="s">
        <v>627</v>
      </c>
      <c r="N287" s="341" t="s">
        <v>628</v>
      </c>
      <c r="O287" s="91"/>
      <c r="P287" s="116" t="s">
        <v>50</v>
      </c>
      <c r="Q287" s="115"/>
      <c r="R287" s="1024"/>
      <c r="S287" s="75"/>
      <c r="T287" s="71"/>
      <c r="U287" s="71"/>
      <c r="V287" s="71"/>
      <c r="W287" s="71"/>
      <c r="X287" s="71"/>
      <c r="Y287" s="71"/>
      <c r="Z287" s="71"/>
      <c r="AA287" s="71"/>
      <c r="AB287" s="71"/>
      <c r="AC287" s="71"/>
    </row>
    <row r="288" spans="1:29" s="73" customFormat="1">
      <c r="A288" s="37">
        <v>221</v>
      </c>
      <c r="B288" s="37">
        <v>36</v>
      </c>
      <c r="C288" s="38" t="s">
        <v>629</v>
      </c>
      <c r="D288" s="37" t="s">
        <v>630</v>
      </c>
      <c r="E288" s="37" t="s">
        <v>47</v>
      </c>
      <c r="F288" s="338">
        <v>5000</v>
      </c>
      <c r="G288" s="339">
        <f>460*1.05</f>
        <v>483</v>
      </c>
      <c r="H288" s="340">
        <f t="shared" si="25"/>
        <v>2415000</v>
      </c>
      <c r="I288" s="43">
        <v>5000</v>
      </c>
      <c r="J288" s="44">
        <v>900</v>
      </c>
      <c r="K288" s="32">
        <f t="shared" si="27"/>
        <v>4500000</v>
      </c>
      <c r="L288" s="30">
        <f t="shared" si="26"/>
        <v>417</v>
      </c>
      <c r="M288" s="89" t="s">
        <v>631</v>
      </c>
      <c r="N288" s="341" t="s">
        <v>632</v>
      </c>
      <c r="O288" s="91"/>
      <c r="P288" s="116" t="s">
        <v>50</v>
      </c>
      <c r="Q288" s="115"/>
      <c r="R288" s="1024"/>
      <c r="S288" s="75"/>
      <c r="T288" s="71"/>
      <c r="U288" s="71"/>
      <c r="V288" s="71"/>
      <c r="W288" s="71"/>
      <c r="X288" s="71"/>
      <c r="Y288" s="71"/>
      <c r="Z288" s="71"/>
      <c r="AA288" s="71"/>
      <c r="AB288" s="71"/>
      <c r="AC288" s="71"/>
    </row>
    <row r="289" spans="1:29" s="73" customFormat="1" ht="18">
      <c r="A289" s="37">
        <v>222</v>
      </c>
      <c r="B289" s="37">
        <v>37</v>
      </c>
      <c r="C289" s="38" t="s">
        <v>633</v>
      </c>
      <c r="D289" s="37" t="s">
        <v>531</v>
      </c>
      <c r="E289" s="37" t="s">
        <v>47</v>
      </c>
      <c r="F289" s="342">
        <v>200</v>
      </c>
      <c r="G289" s="339">
        <f>26000*1.05</f>
        <v>27300</v>
      </c>
      <c r="H289" s="340">
        <f t="shared" si="25"/>
        <v>5460000</v>
      </c>
      <c r="I289" s="43">
        <v>200</v>
      </c>
      <c r="J289" s="44">
        <v>39000</v>
      </c>
      <c r="K289" s="32">
        <f t="shared" si="27"/>
        <v>7800000</v>
      </c>
      <c r="L289" s="30">
        <f t="shared" si="26"/>
        <v>11700</v>
      </c>
      <c r="M289" s="89" t="s">
        <v>618</v>
      </c>
      <c r="N289" s="345" t="s">
        <v>634</v>
      </c>
      <c r="O289" s="91"/>
      <c r="P289" s="116" t="s">
        <v>50</v>
      </c>
      <c r="Q289" s="115"/>
      <c r="R289" s="1024"/>
      <c r="S289" s="75"/>
      <c r="T289" s="71"/>
      <c r="U289" s="71"/>
      <c r="V289" s="71"/>
      <c r="W289" s="71"/>
      <c r="X289" s="71"/>
      <c r="Y289" s="71"/>
      <c r="Z289" s="71"/>
      <c r="AA289" s="71"/>
      <c r="AB289" s="71"/>
      <c r="AC289" s="71"/>
    </row>
    <row r="290" spans="1:29" s="73" customFormat="1">
      <c r="A290" s="37">
        <v>223</v>
      </c>
      <c r="B290" s="37">
        <v>38</v>
      </c>
      <c r="C290" s="38" t="s">
        <v>635</v>
      </c>
      <c r="D290" s="37" t="s">
        <v>214</v>
      </c>
      <c r="E290" s="37" t="s">
        <v>47</v>
      </c>
      <c r="F290" s="338">
        <v>6000</v>
      </c>
      <c r="G290" s="339">
        <f>2300*1.05</f>
        <v>2415</v>
      </c>
      <c r="H290" s="340">
        <f t="shared" si="25"/>
        <v>14490000</v>
      </c>
      <c r="I290" s="43">
        <v>6000</v>
      </c>
      <c r="J290" s="44">
        <v>3000</v>
      </c>
      <c r="K290" s="32">
        <f t="shared" si="27"/>
        <v>18000000</v>
      </c>
      <c r="L290" s="30">
        <f t="shared" si="26"/>
        <v>585</v>
      </c>
      <c r="M290" s="89" t="s">
        <v>636</v>
      </c>
      <c r="N290" s="341" t="s">
        <v>637</v>
      </c>
      <c r="O290" s="91"/>
      <c r="P290" s="116" t="s">
        <v>50</v>
      </c>
      <c r="Q290" s="115"/>
      <c r="R290" s="1024"/>
      <c r="S290" s="75"/>
      <c r="T290" s="71"/>
      <c r="U290" s="71"/>
      <c r="V290" s="71"/>
      <c r="W290" s="71"/>
      <c r="X290" s="71"/>
      <c r="Y290" s="71"/>
      <c r="Z290" s="71"/>
      <c r="AA290" s="71"/>
      <c r="AB290" s="71"/>
      <c r="AC290" s="71"/>
    </row>
    <row r="291" spans="1:29" s="73" customFormat="1">
      <c r="A291" s="37">
        <v>224</v>
      </c>
      <c r="B291" s="37">
        <v>39</v>
      </c>
      <c r="C291" s="38" t="s">
        <v>638</v>
      </c>
      <c r="D291" s="37" t="s">
        <v>214</v>
      </c>
      <c r="E291" s="37" t="s">
        <v>47</v>
      </c>
      <c r="F291" s="338">
        <v>20000</v>
      </c>
      <c r="G291" s="339">
        <v>8400</v>
      </c>
      <c r="H291" s="340">
        <f t="shared" si="25"/>
        <v>168000000</v>
      </c>
      <c r="I291" s="43">
        <v>20000</v>
      </c>
      <c r="J291" s="44">
        <v>9500</v>
      </c>
      <c r="K291" s="32">
        <f t="shared" si="27"/>
        <v>190000000</v>
      </c>
      <c r="L291" s="30">
        <f t="shared" si="26"/>
        <v>1100</v>
      </c>
      <c r="M291" s="343" t="s">
        <v>639</v>
      </c>
      <c r="N291" s="345" t="s">
        <v>640</v>
      </c>
      <c r="O291" s="91"/>
      <c r="P291" s="116" t="s">
        <v>50</v>
      </c>
      <c r="Q291" s="115"/>
      <c r="R291" s="1024"/>
      <c r="S291" s="75"/>
      <c r="T291" s="71"/>
      <c r="U291" s="71"/>
      <c r="V291" s="71"/>
      <c r="W291" s="71"/>
      <c r="X291" s="71"/>
      <c r="Y291" s="71"/>
      <c r="Z291" s="71"/>
      <c r="AA291" s="71"/>
      <c r="AB291" s="71"/>
      <c r="AC291" s="71"/>
    </row>
    <row r="292" spans="1:29" s="73" customFormat="1">
      <c r="A292" s="37">
        <v>225</v>
      </c>
      <c r="B292" s="37">
        <v>40</v>
      </c>
      <c r="C292" s="38" t="s">
        <v>641</v>
      </c>
      <c r="D292" s="37" t="s">
        <v>642</v>
      </c>
      <c r="E292" s="37" t="s">
        <v>47</v>
      </c>
      <c r="F292" s="342">
        <v>200</v>
      </c>
      <c r="G292" s="339">
        <f>27000*1.05</f>
        <v>28350</v>
      </c>
      <c r="H292" s="340">
        <f t="shared" si="25"/>
        <v>5670000</v>
      </c>
      <c r="I292" s="43">
        <v>200</v>
      </c>
      <c r="J292" s="44">
        <v>37000</v>
      </c>
      <c r="K292" s="32">
        <f t="shared" si="27"/>
        <v>7400000</v>
      </c>
      <c r="L292" s="30">
        <f t="shared" si="26"/>
        <v>8650</v>
      </c>
      <c r="M292" s="89" t="s">
        <v>553</v>
      </c>
      <c r="N292" s="341" t="s">
        <v>643</v>
      </c>
      <c r="O292" s="91"/>
      <c r="P292" s="116" t="s">
        <v>50</v>
      </c>
      <c r="Q292" s="115"/>
      <c r="R292" s="1024"/>
      <c r="S292" s="75"/>
      <c r="T292" s="71"/>
      <c r="U292" s="71"/>
      <c r="V292" s="71"/>
      <c r="W292" s="71"/>
      <c r="X292" s="71"/>
      <c r="Y292" s="71"/>
      <c r="Z292" s="71"/>
      <c r="AA292" s="71"/>
      <c r="AB292" s="71"/>
      <c r="AC292" s="71"/>
    </row>
    <row r="293" spans="1:29" s="73" customFormat="1" ht="18">
      <c r="A293" s="37">
        <v>226</v>
      </c>
      <c r="B293" s="37">
        <v>41</v>
      </c>
      <c r="C293" s="38" t="s">
        <v>644</v>
      </c>
      <c r="D293" s="37" t="s">
        <v>645</v>
      </c>
      <c r="E293" s="37" t="s">
        <v>47</v>
      </c>
      <c r="F293" s="338">
        <v>20000</v>
      </c>
      <c r="G293" s="339">
        <v>840</v>
      </c>
      <c r="H293" s="340">
        <f t="shared" si="25"/>
        <v>16800000</v>
      </c>
      <c r="I293" s="43">
        <v>20000</v>
      </c>
      <c r="J293" s="44">
        <v>1100</v>
      </c>
      <c r="K293" s="32">
        <f t="shared" si="27"/>
        <v>22000000</v>
      </c>
      <c r="L293" s="30">
        <f t="shared" si="26"/>
        <v>260</v>
      </c>
      <c r="M293" s="89" t="s">
        <v>646</v>
      </c>
      <c r="N293" s="345" t="s">
        <v>647</v>
      </c>
      <c r="O293" s="91"/>
      <c r="P293" s="116" t="s">
        <v>50</v>
      </c>
      <c r="Q293" s="115"/>
      <c r="R293" s="1024"/>
      <c r="S293" s="75"/>
      <c r="T293" s="71"/>
      <c r="U293" s="71"/>
      <c r="V293" s="71"/>
      <c r="W293" s="71"/>
      <c r="X293" s="71"/>
      <c r="Y293" s="71"/>
      <c r="Z293" s="71"/>
      <c r="AA293" s="71"/>
      <c r="AB293" s="71"/>
      <c r="AC293" s="71"/>
    </row>
    <row r="294" spans="1:29" s="73" customFormat="1">
      <c r="A294" s="37">
        <v>227</v>
      </c>
      <c r="B294" s="37">
        <v>42</v>
      </c>
      <c r="C294" s="38" t="s">
        <v>648</v>
      </c>
      <c r="D294" s="37" t="s">
        <v>531</v>
      </c>
      <c r="E294" s="37" t="s">
        <v>47</v>
      </c>
      <c r="F294" s="342">
        <v>50</v>
      </c>
      <c r="G294" s="339">
        <v>10500</v>
      </c>
      <c r="H294" s="340">
        <f t="shared" si="25"/>
        <v>525000</v>
      </c>
      <c r="I294" s="43">
        <v>50</v>
      </c>
      <c r="J294" s="44">
        <v>17000</v>
      </c>
      <c r="K294" s="32">
        <f t="shared" si="27"/>
        <v>850000</v>
      </c>
      <c r="L294" s="30">
        <f t="shared" si="26"/>
        <v>6500</v>
      </c>
      <c r="M294" s="89" t="s">
        <v>618</v>
      </c>
      <c r="N294" s="341" t="s">
        <v>649</v>
      </c>
      <c r="O294" s="91"/>
      <c r="P294" s="116" t="s">
        <v>50</v>
      </c>
      <c r="Q294" s="115"/>
      <c r="R294" s="1024"/>
      <c r="S294" s="75"/>
      <c r="T294" s="71"/>
      <c r="U294" s="71"/>
      <c r="V294" s="71"/>
      <c r="W294" s="71"/>
      <c r="X294" s="71"/>
      <c r="Y294" s="71"/>
      <c r="Z294" s="71"/>
      <c r="AA294" s="71"/>
      <c r="AB294" s="71"/>
      <c r="AC294" s="71"/>
    </row>
    <row r="295" spans="1:29" s="73" customFormat="1" ht="18">
      <c r="A295" s="37">
        <v>228</v>
      </c>
      <c r="B295" s="37">
        <v>43</v>
      </c>
      <c r="C295" s="38" t="s">
        <v>650</v>
      </c>
      <c r="D295" s="37" t="s">
        <v>531</v>
      </c>
      <c r="E295" s="37" t="s">
        <v>47</v>
      </c>
      <c r="F295" s="338">
        <v>1000</v>
      </c>
      <c r="G295" s="339">
        <v>19950</v>
      </c>
      <c r="H295" s="340">
        <f t="shared" si="25"/>
        <v>19950000</v>
      </c>
      <c r="I295" s="43">
        <v>1000</v>
      </c>
      <c r="J295" s="44">
        <v>35000</v>
      </c>
      <c r="K295" s="32">
        <f t="shared" si="27"/>
        <v>35000000</v>
      </c>
      <c r="L295" s="30">
        <f t="shared" si="26"/>
        <v>15050</v>
      </c>
      <c r="M295" s="89" t="s">
        <v>559</v>
      </c>
      <c r="N295" s="341" t="s">
        <v>651</v>
      </c>
      <c r="O295" s="91"/>
      <c r="P295" s="116" t="s">
        <v>50</v>
      </c>
      <c r="Q295" s="115"/>
      <c r="R295" s="1024"/>
      <c r="S295" s="75"/>
      <c r="T295" s="71"/>
      <c r="U295" s="71"/>
      <c r="V295" s="71"/>
      <c r="W295" s="71"/>
      <c r="X295" s="71"/>
      <c r="Y295" s="71"/>
      <c r="Z295" s="71"/>
      <c r="AA295" s="71"/>
      <c r="AB295" s="71"/>
      <c r="AC295" s="71"/>
    </row>
    <row r="296" spans="1:29" s="73" customFormat="1">
      <c r="A296" s="37">
        <v>229</v>
      </c>
      <c r="B296" s="37">
        <v>44</v>
      </c>
      <c r="C296" s="38" t="s">
        <v>652</v>
      </c>
      <c r="D296" s="37" t="s">
        <v>653</v>
      </c>
      <c r="E296" s="37" t="s">
        <v>47</v>
      </c>
      <c r="F296" s="342">
        <v>500</v>
      </c>
      <c r="G296" s="339">
        <f>26000*1.05</f>
        <v>27300</v>
      </c>
      <c r="H296" s="340">
        <f t="shared" si="25"/>
        <v>13650000</v>
      </c>
      <c r="I296" s="43">
        <v>500</v>
      </c>
      <c r="J296" s="44">
        <v>35000</v>
      </c>
      <c r="K296" s="32">
        <f t="shared" si="27"/>
        <v>17500000</v>
      </c>
      <c r="L296" s="30">
        <f t="shared" si="26"/>
        <v>7700</v>
      </c>
      <c r="M296" s="89" t="s">
        <v>654</v>
      </c>
      <c r="N296" s="341" t="s">
        <v>655</v>
      </c>
      <c r="O296" s="91"/>
      <c r="P296" s="116" t="s">
        <v>50</v>
      </c>
      <c r="Q296" s="115"/>
      <c r="R296" s="1024"/>
      <c r="S296" s="75"/>
      <c r="T296" s="71"/>
      <c r="U296" s="71"/>
      <c r="V296" s="71"/>
      <c r="W296" s="71"/>
      <c r="X296" s="71"/>
      <c r="Y296" s="71"/>
      <c r="Z296" s="71"/>
      <c r="AA296" s="71"/>
      <c r="AB296" s="71"/>
      <c r="AC296" s="71"/>
    </row>
    <row r="297" spans="1:29" s="73" customFormat="1">
      <c r="A297" s="37">
        <v>230</v>
      </c>
      <c r="B297" s="37">
        <v>45</v>
      </c>
      <c r="C297" s="38" t="s">
        <v>656</v>
      </c>
      <c r="D297" s="37" t="s">
        <v>552</v>
      </c>
      <c r="E297" s="37" t="s">
        <v>47</v>
      </c>
      <c r="F297" s="342">
        <v>600</v>
      </c>
      <c r="G297" s="339">
        <f>12800*1.05</f>
        <v>13440</v>
      </c>
      <c r="H297" s="340">
        <f t="shared" si="25"/>
        <v>8064000</v>
      </c>
      <c r="I297" s="43">
        <v>600</v>
      </c>
      <c r="J297" s="44">
        <v>15000</v>
      </c>
      <c r="K297" s="32">
        <f t="shared" si="27"/>
        <v>9000000</v>
      </c>
      <c r="L297" s="30">
        <f t="shared" si="26"/>
        <v>1560</v>
      </c>
      <c r="M297" s="89" t="s">
        <v>657</v>
      </c>
      <c r="N297" s="341" t="s">
        <v>658</v>
      </c>
      <c r="O297" s="91"/>
      <c r="P297" s="116" t="s">
        <v>50</v>
      </c>
      <c r="Q297" s="115"/>
      <c r="R297" s="1024"/>
      <c r="S297" s="75"/>
      <c r="T297" s="71"/>
      <c r="U297" s="71"/>
      <c r="V297" s="71"/>
      <c r="W297" s="71"/>
      <c r="X297" s="71"/>
      <c r="Y297" s="71"/>
      <c r="Z297" s="71"/>
      <c r="AA297" s="71"/>
      <c r="AB297" s="71"/>
      <c r="AC297" s="71"/>
    </row>
    <row r="298" spans="1:29" s="73" customFormat="1">
      <c r="A298" s="37">
        <v>231</v>
      </c>
      <c r="B298" s="37">
        <v>46</v>
      </c>
      <c r="C298" s="38" t="s">
        <v>659</v>
      </c>
      <c r="D298" s="37" t="s">
        <v>660</v>
      </c>
      <c r="E298" s="37" t="s">
        <v>47</v>
      </c>
      <c r="F298" s="342">
        <v>600</v>
      </c>
      <c r="G298" s="339">
        <f>11000*1.05</f>
        <v>11550</v>
      </c>
      <c r="H298" s="340">
        <f t="shared" si="25"/>
        <v>6930000</v>
      </c>
      <c r="I298" s="43">
        <v>600</v>
      </c>
      <c r="J298" s="44">
        <v>19000</v>
      </c>
      <c r="K298" s="32">
        <f t="shared" si="27"/>
        <v>11400000</v>
      </c>
      <c r="L298" s="30">
        <f t="shared" si="26"/>
        <v>7450</v>
      </c>
      <c r="M298" s="89" t="s">
        <v>553</v>
      </c>
      <c r="N298" s="341" t="s">
        <v>661</v>
      </c>
      <c r="O298" s="91"/>
      <c r="P298" s="116" t="s">
        <v>50</v>
      </c>
      <c r="Q298" s="115"/>
      <c r="R298" s="1024"/>
      <c r="S298" s="75"/>
      <c r="T298" s="71"/>
      <c r="U298" s="71"/>
      <c r="V298" s="71"/>
      <c r="W298" s="71"/>
      <c r="X298" s="71"/>
      <c r="Y298" s="71"/>
      <c r="Z298" s="71"/>
      <c r="AA298" s="71"/>
      <c r="AB298" s="71"/>
      <c r="AC298" s="71"/>
    </row>
    <row r="299" spans="1:29" s="73" customFormat="1">
      <c r="A299" s="37">
        <v>232</v>
      </c>
      <c r="B299" s="37">
        <v>47</v>
      </c>
      <c r="C299" s="38" t="s">
        <v>662</v>
      </c>
      <c r="D299" s="37" t="s">
        <v>531</v>
      </c>
      <c r="E299" s="37" t="s">
        <v>47</v>
      </c>
      <c r="F299" s="342">
        <v>300</v>
      </c>
      <c r="G299" s="339">
        <f>32200*1.05</f>
        <v>33810</v>
      </c>
      <c r="H299" s="340">
        <f t="shared" si="25"/>
        <v>10143000</v>
      </c>
      <c r="I299" s="43">
        <v>300</v>
      </c>
      <c r="J299" s="44">
        <v>49000</v>
      </c>
      <c r="K299" s="32">
        <f t="shared" si="27"/>
        <v>14700000</v>
      </c>
      <c r="L299" s="30">
        <f t="shared" si="26"/>
        <v>15190</v>
      </c>
      <c r="M299" s="89" t="s">
        <v>618</v>
      </c>
      <c r="N299" s="341" t="s">
        <v>663</v>
      </c>
      <c r="O299" s="91"/>
      <c r="P299" s="116" t="s">
        <v>50</v>
      </c>
      <c r="Q299" s="115"/>
      <c r="R299" s="1024"/>
      <c r="S299" s="75"/>
      <c r="T299" s="71"/>
      <c r="U299" s="71"/>
      <c r="V299" s="71"/>
      <c r="W299" s="71"/>
      <c r="X299" s="71"/>
      <c r="Y299" s="71"/>
      <c r="Z299" s="71"/>
      <c r="AA299" s="71"/>
      <c r="AB299" s="71"/>
      <c r="AC299" s="71"/>
    </row>
    <row r="300" spans="1:29" s="73" customFormat="1">
      <c r="A300" s="37">
        <v>233</v>
      </c>
      <c r="B300" s="37">
        <v>48</v>
      </c>
      <c r="C300" s="38" t="s">
        <v>664</v>
      </c>
      <c r="D300" s="37" t="s">
        <v>531</v>
      </c>
      <c r="E300" s="37" t="s">
        <v>47</v>
      </c>
      <c r="F300" s="342">
        <v>5</v>
      </c>
      <c r="G300" s="339">
        <v>1155000</v>
      </c>
      <c r="H300" s="340">
        <f t="shared" si="25"/>
        <v>5775000</v>
      </c>
      <c r="I300" s="43">
        <v>5</v>
      </c>
      <c r="J300" s="44">
        <v>1450000</v>
      </c>
      <c r="K300" s="32">
        <f t="shared" si="27"/>
        <v>7250000</v>
      </c>
      <c r="L300" s="30">
        <f t="shared" si="26"/>
        <v>295000</v>
      </c>
      <c r="M300" s="89" t="s">
        <v>618</v>
      </c>
      <c r="N300" s="345" t="s">
        <v>665</v>
      </c>
      <c r="O300" s="91"/>
      <c r="P300" s="116" t="s">
        <v>50</v>
      </c>
      <c r="Q300" s="115"/>
      <c r="R300" s="1024"/>
      <c r="S300" s="75"/>
      <c r="T300" s="71"/>
      <c r="U300" s="71"/>
      <c r="V300" s="71"/>
      <c r="W300" s="71"/>
      <c r="X300" s="71"/>
      <c r="Y300" s="71"/>
      <c r="Z300" s="71"/>
      <c r="AA300" s="71"/>
      <c r="AB300" s="71"/>
      <c r="AC300" s="71"/>
    </row>
    <row r="301" spans="1:29" s="73" customFormat="1">
      <c r="A301" s="37">
        <v>234</v>
      </c>
      <c r="B301" s="37">
        <v>49</v>
      </c>
      <c r="C301" s="38" t="s">
        <v>666</v>
      </c>
      <c r="D301" s="37" t="s">
        <v>531</v>
      </c>
      <c r="E301" s="37" t="s">
        <v>47</v>
      </c>
      <c r="F301" s="342">
        <v>300</v>
      </c>
      <c r="G301" s="339">
        <f>33810</f>
        <v>33810</v>
      </c>
      <c r="H301" s="340">
        <f t="shared" si="25"/>
        <v>10143000</v>
      </c>
      <c r="I301" s="43">
        <v>300</v>
      </c>
      <c r="J301" s="44">
        <v>39000</v>
      </c>
      <c r="K301" s="32">
        <f t="shared" si="27"/>
        <v>11700000</v>
      </c>
      <c r="L301" s="30">
        <f t="shared" si="26"/>
        <v>5190</v>
      </c>
      <c r="M301" s="89" t="s">
        <v>618</v>
      </c>
      <c r="N301" s="345" t="s">
        <v>665</v>
      </c>
      <c r="O301" s="91"/>
      <c r="P301" s="116" t="s">
        <v>50</v>
      </c>
      <c r="Q301" s="115"/>
      <c r="R301" s="1024"/>
      <c r="S301" s="75"/>
      <c r="T301" s="71"/>
      <c r="U301" s="71"/>
      <c r="V301" s="71"/>
      <c r="W301" s="71"/>
      <c r="X301" s="71"/>
      <c r="Y301" s="71"/>
      <c r="Z301" s="71"/>
      <c r="AA301" s="71"/>
      <c r="AB301" s="71"/>
      <c r="AC301" s="71"/>
    </row>
    <row r="302" spans="1:29" s="73" customFormat="1">
      <c r="A302" s="37">
        <v>235</v>
      </c>
      <c r="B302" s="37">
        <v>50</v>
      </c>
      <c r="C302" s="38" t="s">
        <v>667</v>
      </c>
      <c r="D302" s="37" t="s">
        <v>531</v>
      </c>
      <c r="E302" s="37" t="s">
        <v>47</v>
      </c>
      <c r="F302" s="342">
        <v>50</v>
      </c>
      <c r="G302" s="339">
        <f>48400*1.05</f>
        <v>50820</v>
      </c>
      <c r="H302" s="340">
        <f t="shared" si="25"/>
        <v>2541000</v>
      </c>
      <c r="I302" s="43">
        <v>50</v>
      </c>
      <c r="J302" s="44">
        <v>75000</v>
      </c>
      <c r="K302" s="32">
        <f t="shared" si="27"/>
        <v>3750000</v>
      </c>
      <c r="L302" s="30">
        <f t="shared" si="26"/>
        <v>24180</v>
      </c>
      <c r="M302" s="89" t="s">
        <v>618</v>
      </c>
      <c r="N302" s="345" t="s">
        <v>665</v>
      </c>
      <c r="O302" s="91"/>
      <c r="P302" s="116" t="s">
        <v>50</v>
      </c>
      <c r="Q302" s="115"/>
      <c r="R302" s="1024"/>
      <c r="S302" s="75"/>
      <c r="T302" s="71"/>
      <c r="U302" s="71"/>
      <c r="V302" s="71"/>
      <c r="W302" s="71"/>
      <c r="X302" s="71"/>
      <c r="Y302" s="71"/>
      <c r="Z302" s="71"/>
      <c r="AA302" s="71"/>
      <c r="AB302" s="71"/>
      <c r="AC302" s="71"/>
    </row>
    <row r="303" spans="1:29" s="73" customFormat="1">
      <c r="A303" s="37">
        <v>236</v>
      </c>
      <c r="B303" s="37">
        <v>51</v>
      </c>
      <c r="C303" s="38" t="s">
        <v>668</v>
      </c>
      <c r="D303" s="37" t="s">
        <v>669</v>
      </c>
      <c r="E303" s="37" t="s">
        <v>192</v>
      </c>
      <c r="F303" s="342">
        <v>500</v>
      </c>
      <c r="G303" s="339">
        <v>52500</v>
      </c>
      <c r="H303" s="340">
        <f t="shared" si="25"/>
        <v>26250000</v>
      </c>
      <c r="I303" s="43">
        <v>500</v>
      </c>
      <c r="J303" s="44">
        <v>78000</v>
      </c>
      <c r="K303" s="32">
        <f t="shared" si="27"/>
        <v>39000000</v>
      </c>
      <c r="L303" s="30">
        <f t="shared" si="26"/>
        <v>25500</v>
      </c>
      <c r="M303" s="89" t="s">
        <v>670</v>
      </c>
      <c r="N303" s="345" t="s">
        <v>671</v>
      </c>
      <c r="O303" s="91"/>
      <c r="P303" s="116" t="s">
        <v>50</v>
      </c>
      <c r="Q303" s="115"/>
      <c r="R303" s="1024"/>
      <c r="S303" s="75"/>
      <c r="T303" s="71"/>
      <c r="U303" s="71"/>
      <c r="V303" s="71"/>
      <c r="W303" s="71"/>
      <c r="X303" s="71"/>
      <c r="Y303" s="71"/>
      <c r="Z303" s="71"/>
      <c r="AA303" s="71"/>
      <c r="AB303" s="71"/>
      <c r="AC303" s="71"/>
    </row>
    <row r="304" spans="1:29" s="73" customFormat="1">
      <c r="A304" s="37">
        <v>237</v>
      </c>
      <c r="B304" s="37">
        <v>52</v>
      </c>
      <c r="C304" s="38" t="s">
        <v>672</v>
      </c>
      <c r="D304" s="37" t="s">
        <v>531</v>
      </c>
      <c r="E304" s="37" t="s">
        <v>209</v>
      </c>
      <c r="F304" s="342">
        <v>300</v>
      </c>
      <c r="G304" s="339">
        <v>31500</v>
      </c>
      <c r="H304" s="340">
        <f t="shared" si="25"/>
        <v>9450000</v>
      </c>
      <c r="I304" s="43">
        <v>300</v>
      </c>
      <c r="J304" s="44">
        <v>50000</v>
      </c>
      <c r="K304" s="32">
        <f t="shared" si="27"/>
        <v>15000000</v>
      </c>
      <c r="L304" s="30">
        <f t="shared" si="26"/>
        <v>18500</v>
      </c>
      <c r="M304" s="89" t="s">
        <v>673</v>
      </c>
      <c r="N304" s="345" t="s">
        <v>674</v>
      </c>
      <c r="O304" s="91"/>
      <c r="P304" s="116" t="s">
        <v>50</v>
      </c>
      <c r="Q304" s="115"/>
      <c r="R304" s="1024"/>
      <c r="S304" s="75"/>
      <c r="T304" s="71"/>
      <c r="U304" s="71"/>
      <c r="V304" s="71"/>
      <c r="W304" s="71"/>
      <c r="X304" s="71"/>
      <c r="Y304" s="71"/>
      <c r="Z304" s="71"/>
      <c r="AA304" s="71"/>
      <c r="AB304" s="71"/>
      <c r="AC304" s="71"/>
    </row>
    <row r="305" spans="1:31" s="73" customFormat="1">
      <c r="A305" s="37">
        <v>238</v>
      </c>
      <c r="B305" s="37">
        <v>53</v>
      </c>
      <c r="C305" s="38" t="s">
        <v>675</v>
      </c>
      <c r="D305" s="37" t="s">
        <v>676</v>
      </c>
      <c r="E305" s="37" t="s">
        <v>677</v>
      </c>
      <c r="F305" s="342">
        <v>400</v>
      </c>
      <c r="G305" s="339">
        <f>104000*1.1</f>
        <v>114400.00000000001</v>
      </c>
      <c r="H305" s="340">
        <f t="shared" si="25"/>
        <v>45760000.000000007</v>
      </c>
      <c r="I305" s="43">
        <v>400</v>
      </c>
      <c r="J305" s="44">
        <v>195000</v>
      </c>
      <c r="K305" s="32">
        <f t="shared" si="27"/>
        <v>78000000</v>
      </c>
      <c r="L305" s="30">
        <f t="shared" si="26"/>
        <v>80599.999999999985</v>
      </c>
      <c r="M305" s="89" t="s">
        <v>678</v>
      </c>
      <c r="N305" s="341" t="s">
        <v>679</v>
      </c>
      <c r="O305" s="91"/>
      <c r="P305" s="116" t="s">
        <v>50</v>
      </c>
      <c r="Q305" s="115"/>
      <c r="R305" s="1024"/>
      <c r="S305" s="75"/>
      <c r="T305" s="71"/>
      <c r="U305" s="71"/>
      <c r="V305" s="71"/>
      <c r="W305" s="71"/>
      <c r="X305" s="71"/>
      <c r="Y305" s="71"/>
      <c r="Z305" s="71"/>
      <c r="AA305" s="71"/>
      <c r="AB305" s="71"/>
      <c r="AC305" s="71"/>
    </row>
    <row r="306" spans="1:31" s="73" customFormat="1">
      <c r="A306" s="37">
        <v>239</v>
      </c>
      <c r="B306" s="37">
        <v>54</v>
      </c>
      <c r="C306" s="38" t="s">
        <v>680</v>
      </c>
      <c r="D306" s="37" t="s">
        <v>182</v>
      </c>
      <c r="E306" s="37" t="s">
        <v>209</v>
      </c>
      <c r="F306" s="342">
        <v>200</v>
      </c>
      <c r="G306" s="339">
        <f>25000*1.1</f>
        <v>27500.000000000004</v>
      </c>
      <c r="H306" s="340">
        <f t="shared" si="25"/>
        <v>5500000.0000000009</v>
      </c>
      <c r="I306" s="43">
        <v>200</v>
      </c>
      <c r="J306" s="44">
        <v>55000</v>
      </c>
      <c r="K306" s="32">
        <f t="shared" si="27"/>
        <v>11000000</v>
      </c>
      <c r="L306" s="30">
        <f t="shared" si="26"/>
        <v>27499.999999999996</v>
      </c>
      <c r="M306" s="89" t="s">
        <v>61</v>
      </c>
      <c r="N306" s="341" t="s">
        <v>681</v>
      </c>
      <c r="O306" s="91"/>
      <c r="P306" s="116" t="s">
        <v>50</v>
      </c>
      <c r="Q306" s="115"/>
      <c r="R306" s="1024"/>
      <c r="S306" s="75"/>
      <c r="T306" s="71"/>
      <c r="U306" s="71"/>
      <c r="V306" s="71"/>
      <c r="W306" s="71"/>
      <c r="X306" s="71"/>
      <c r="Y306" s="71"/>
      <c r="Z306" s="71"/>
      <c r="AA306" s="71"/>
      <c r="AB306" s="71"/>
      <c r="AC306" s="71"/>
    </row>
    <row r="307" spans="1:31" s="73" customFormat="1">
      <c r="A307" s="37">
        <v>240</v>
      </c>
      <c r="B307" s="37">
        <v>55</v>
      </c>
      <c r="C307" s="38" t="s">
        <v>682</v>
      </c>
      <c r="D307" s="37" t="s">
        <v>531</v>
      </c>
      <c r="E307" s="37" t="s">
        <v>209</v>
      </c>
      <c r="F307" s="342">
        <v>5</v>
      </c>
      <c r="G307" s="339">
        <f>49000*1.05</f>
        <v>51450</v>
      </c>
      <c r="H307" s="340">
        <f t="shared" si="25"/>
        <v>257250</v>
      </c>
      <c r="I307" s="43">
        <v>5</v>
      </c>
      <c r="J307" s="44">
        <v>68000</v>
      </c>
      <c r="K307" s="32">
        <f t="shared" si="27"/>
        <v>340000</v>
      </c>
      <c r="L307" s="30">
        <f t="shared" si="26"/>
        <v>16550</v>
      </c>
      <c r="M307" s="89" t="s">
        <v>618</v>
      </c>
      <c r="N307" s="341" t="s">
        <v>683</v>
      </c>
      <c r="O307" s="91"/>
      <c r="P307" s="116" t="s">
        <v>50</v>
      </c>
      <c r="Q307" s="115"/>
      <c r="R307" s="1024"/>
      <c r="S307" s="75"/>
      <c r="T307" s="71"/>
      <c r="U307" s="71"/>
      <c r="V307" s="71"/>
      <c r="W307" s="71"/>
      <c r="X307" s="71"/>
      <c r="Y307" s="71"/>
      <c r="Z307" s="71"/>
      <c r="AA307" s="71"/>
      <c r="AB307" s="71"/>
      <c r="AC307" s="71"/>
    </row>
    <row r="308" spans="1:31">
      <c r="A308" s="37">
        <v>241</v>
      </c>
      <c r="B308" s="37">
        <v>56</v>
      </c>
      <c r="C308" s="38" t="s">
        <v>684</v>
      </c>
      <c r="D308" s="37" t="s">
        <v>531</v>
      </c>
      <c r="E308" s="37" t="s">
        <v>47</v>
      </c>
      <c r="F308" s="342">
        <v>5</v>
      </c>
      <c r="G308" s="339">
        <f>134200*1.05</f>
        <v>140910</v>
      </c>
      <c r="H308" s="340">
        <f t="shared" si="25"/>
        <v>704550</v>
      </c>
      <c r="I308" s="43">
        <v>5</v>
      </c>
      <c r="J308" s="44">
        <v>270000</v>
      </c>
      <c r="K308" s="32">
        <f t="shared" si="27"/>
        <v>1350000</v>
      </c>
      <c r="L308" s="30">
        <f t="shared" si="26"/>
        <v>129090</v>
      </c>
      <c r="M308" s="89" t="s">
        <v>618</v>
      </c>
      <c r="N308" s="341" t="s">
        <v>685</v>
      </c>
      <c r="O308" s="91"/>
      <c r="P308" s="116" t="s">
        <v>50</v>
      </c>
      <c r="Q308" s="115"/>
    </row>
    <row r="309" spans="1:31">
      <c r="A309" s="37">
        <v>242</v>
      </c>
      <c r="B309" s="37">
        <v>57</v>
      </c>
      <c r="C309" s="38" t="s">
        <v>686</v>
      </c>
      <c r="D309" s="37" t="s">
        <v>531</v>
      </c>
      <c r="E309" s="37" t="s">
        <v>209</v>
      </c>
      <c r="F309" s="342">
        <v>5</v>
      </c>
      <c r="G309" s="339">
        <v>84000</v>
      </c>
      <c r="H309" s="340">
        <f t="shared" si="25"/>
        <v>420000</v>
      </c>
      <c r="I309" s="43">
        <v>5</v>
      </c>
      <c r="J309" s="44">
        <v>85000</v>
      </c>
      <c r="K309" s="32">
        <f t="shared" si="27"/>
        <v>425000</v>
      </c>
      <c r="L309" s="30">
        <f t="shared" si="26"/>
        <v>1000</v>
      </c>
      <c r="M309" s="89" t="s">
        <v>572</v>
      </c>
      <c r="N309" s="341" t="s">
        <v>687</v>
      </c>
      <c r="O309" s="91"/>
      <c r="P309" s="116" t="s">
        <v>50</v>
      </c>
      <c r="Q309" s="115"/>
    </row>
    <row r="310" spans="1:31">
      <c r="A310" s="37">
        <v>243</v>
      </c>
      <c r="B310" s="37">
        <v>58</v>
      </c>
      <c r="C310" s="38" t="s">
        <v>688</v>
      </c>
      <c r="D310" s="37" t="s">
        <v>669</v>
      </c>
      <c r="E310" s="37" t="s">
        <v>209</v>
      </c>
      <c r="F310" s="342">
        <v>10</v>
      </c>
      <c r="G310" s="339">
        <v>420000</v>
      </c>
      <c r="H310" s="340">
        <f t="shared" si="25"/>
        <v>4200000</v>
      </c>
      <c r="I310" s="43">
        <v>10</v>
      </c>
      <c r="J310" s="44">
        <v>490000</v>
      </c>
      <c r="K310" s="32">
        <f t="shared" si="27"/>
        <v>4900000</v>
      </c>
      <c r="L310" s="30">
        <f t="shared" si="26"/>
        <v>70000</v>
      </c>
      <c r="M310" s="89" t="s">
        <v>689</v>
      </c>
      <c r="N310" s="345" t="s">
        <v>690</v>
      </c>
      <c r="O310" s="91"/>
      <c r="P310" s="116" t="s">
        <v>50</v>
      </c>
      <c r="Q310" s="115"/>
    </row>
    <row r="311" spans="1:31">
      <c r="A311" s="37">
        <v>244</v>
      </c>
      <c r="B311" s="37">
        <v>59</v>
      </c>
      <c r="C311" s="38" t="s">
        <v>691</v>
      </c>
      <c r="D311" s="37" t="s">
        <v>669</v>
      </c>
      <c r="E311" s="37" t="s">
        <v>209</v>
      </c>
      <c r="F311" s="342">
        <v>1</v>
      </c>
      <c r="G311" s="339">
        <f>844000*1.05</f>
        <v>886200</v>
      </c>
      <c r="H311" s="340">
        <f t="shared" si="25"/>
        <v>886200</v>
      </c>
      <c r="I311" s="43">
        <v>1</v>
      </c>
      <c r="J311" s="44">
        <v>980000</v>
      </c>
      <c r="K311" s="32">
        <f t="shared" si="27"/>
        <v>980000</v>
      </c>
      <c r="L311" s="30">
        <f t="shared" si="26"/>
        <v>93800</v>
      </c>
      <c r="M311" s="89" t="s">
        <v>689</v>
      </c>
      <c r="N311" s="345" t="s">
        <v>690</v>
      </c>
      <c r="O311" s="91"/>
      <c r="P311" s="116" t="s">
        <v>50</v>
      </c>
      <c r="Q311" s="115"/>
    </row>
    <row r="312" spans="1:31">
      <c r="A312" s="94">
        <v>245</v>
      </c>
      <c r="B312" s="94">
        <v>60</v>
      </c>
      <c r="C312" s="95" t="s">
        <v>692</v>
      </c>
      <c r="D312" s="94" t="s">
        <v>693</v>
      </c>
      <c r="E312" s="94" t="s">
        <v>47</v>
      </c>
      <c r="F312" s="347">
        <v>15000</v>
      </c>
      <c r="G312" s="348">
        <f>4840*1.05</f>
        <v>5082</v>
      </c>
      <c r="H312" s="349">
        <f t="shared" si="25"/>
        <v>76230000</v>
      </c>
      <c r="I312" s="99">
        <v>15000</v>
      </c>
      <c r="J312" s="54">
        <v>6000</v>
      </c>
      <c r="K312" s="32">
        <f t="shared" si="27"/>
        <v>90000000</v>
      </c>
      <c r="L312" s="30">
        <f t="shared" si="26"/>
        <v>918</v>
      </c>
      <c r="M312" s="100" t="s">
        <v>61</v>
      </c>
      <c r="N312" s="350" t="s">
        <v>694</v>
      </c>
      <c r="O312" s="102"/>
      <c r="P312" s="128" t="s">
        <v>50</v>
      </c>
      <c r="Q312" s="115"/>
    </row>
    <row r="313" spans="1:31">
      <c r="A313" s="105"/>
      <c r="B313" s="105"/>
      <c r="C313" s="63" t="s">
        <v>695</v>
      </c>
      <c r="D313" s="105"/>
      <c r="E313" s="105"/>
      <c r="F313" s="105"/>
      <c r="G313" s="351"/>
      <c r="H313" s="2287">
        <f>+SUM(H253:H312)</f>
        <v>2460810000</v>
      </c>
      <c r="I313" s="352"/>
      <c r="J313" s="352"/>
      <c r="K313" s="352">
        <f>+SUM(K253:K312)</f>
        <v>3059735000</v>
      </c>
      <c r="L313" s="352"/>
      <c r="M313" s="105"/>
      <c r="N313" s="105"/>
      <c r="O313" s="105"/>
      <c r="P313" s="142"/>
      <c r="Q313" s="115"/>
    </row>
    <row r="314" spans="1:31">
      <c r="A314" s="217"/>
      <c r="B314" s="2113" t="s">
        <v>696</v>
      </c>
      <c r="C314" s="2113"/>
      <c r="D314" s="2113"/>
      <c r="E314" s="2113"/>
      <c r="F314" s="2113"/>
      <c r="G314" s="2113"/>
      <c r="H314" s="2113"/>
      <c r="I314" s="2113"/>
      <c r="J314" s="2113"/>
      <c r="K314" s="2113"/>
      <c r="L314" s="2113"/>
      <c r="M314" s="2113"/>
      <c r="N314" s="2113"/>
      <c r="O314" s="2113"/>
    </row>
    <row r="316" spans="1:31">
      <c r="A316" s="71" t="s">
        <v>697</v>
      </c>
    </row>
    <row r="317" spans="1:31" s="12" customFormat="1" ht="14.45" customHeight="1">
      <c r="A317" s="2092" t="s">
        <v>5</v>
      </c>
      <c r="B317" s="2092" t="s">
        <v>6</v>
      </c>
      <c r="C317" s="2094" t="s">
        <v>7</v>
      </c>
      <c r="D317" s="2096" t="s">
        <v>8</v>
      </c>
      <c r="E317" s="2092" t="s">
        <v>9</v>
      </c>
      <c r="F317" s="2098" t="s">
        <v>10</v>
      </c>
      <c r="G317" s="2098"/>
      <c r="H317" s="2098"/>
      <c r="I317" s="2098" t="s">
        <v>11</v>
      </c>
      <c r="J317" s="2098"/>
      <c r="K317" s="2098"/>
      <c r="L317" s="2099" t="s">
        <v>12</v>
      </c>
      <c r="M317" s="9"/>
      <c r="N317" s="9"/>
      <c r="O317" s="9"/>
      <c r="P317" s="2101" t="s">
        <v>13</v>
      </c>
      <c r="Q317" s="2265" t="s">
        <v>4740</v>
      </c>
      <c r="R317" s="2319" t="s">
        <v>4754</v>
      </c>
      <c r="S317" s="2267" t="s">
        <v>4767</v>
      </c>
      <c r="T317" s="2268"/>
      <c r="U317" s="2268"/>
      <c r="V317" s="2268"/>
      <c r="W317" s="2269"/>
      <c r="X317" s="2267" t="s">
        <v>4768</v>
      </c>
      <c r="Y317" s="2268"/>
      <c r="Z317" s="2268"/>
      <c r="AA317" s="2268"/>
      <c r="AB317" s="2268"/>
      <c r="AC317" s="2268"/>
      <c r="AD317" s="2268"/>
      <c r="AE317" s="2269"/>
    </row>
    <row r="318" spans="1:31" s="16" customFormat="1" ht="39.6" customHeight="1">
      <c r="A318" s="2093"/>
      <c r="B318" s="2093"/>
      <c r="C318" s="2095"/>
      <c r="D318" s="2097"/>
      <c r="E318" s="2093"/>
      <c r="F318" s="13" t="s">
        <v>14</v>
      </c>
      <c r="G318" s="13" t="s">
        <v>15</v>
      </c>
      <c r="H318" s="13" t="s">
        <v>16</v>
      </c>
      <c r="I318" s="13" t="s">
        <v>14</v>
      </c>
      <c r="J318" s="13" t="s">
        <v>15</v>
      </c>
      <c r="K318" s="13" t="s">
        <v>16</v>
      </c>
      <c r="L318" s="2100"/>
      <c r="M318" s="14" t="s">
        <v>17</v>
      </c>
      <c r="N318" s="14" t="s">
        <v>18</v>
      </c>
      <c r="O318" s="14" t="s">
        <v>19</v>
      </c>
      <c r="P318" s="2102"/>
      <c r="Q318" s="2266"/>
      <c r="R318" s="2320"/>
      <c r="S318" s="2263" t="s">
        <v>4755</v>
      </c>
      <c r="T318" s="2263" t="s">
        <v>4756</v>
      </c>
      <c r="U318" s="2263" t="s">
        <v>4757</v>
      </c>
      <c r="V318" s="2263" t="s">
        <v>4758</v>
      </c>
      <c r="W318" s="2263" t="s">
        <v>4759</v>
      </c>
      <c r="X318" s="2264" t="s">
        <v>4760</v>
      </c>
      <c r="Y318" s="2264" t="s">
        <v>4761</v>
      </c>
      <c r="Z318" s="2264" t="s">
        <v>4762</v>
      </c>
      <c r="AA318" s="2264" t="s">
        <v>4763</v>
      </c>
      <c r="AB318" s="2264" t="s">
        <v>4764</v>
      </c>
      <c r="AC318" s="2264" t="s">
        <v>4765</v>
      </c>
      <c r="AD318" s="2264" t="s">
        <v>4766</v>
      </c>
      <c r="AE318" s="2264" t="s">
        <v>4755</v>
      </c>
    </row>
    <row r="319" spans="1:31" s="24" customFormat="1">
      <c r="A319" s="17">
        <v>1</v>
      </c>
      <c r="B319" s="17">
        <v>2</v>
      </c>
      <c r="C319" s="18">
        <v>3</v>
      </c>
      <c r="D319" s="19">
        <v>4</v>
      </c>
      <c r="E319" s="17">
        <v>5</v>
      </c>
      <c r="F319" s="13">
        <v>6</v>
      </c>
      <c r="G319" s="20">
        <v>7</v>
      </c>
      <c r="H319" s="20">
        <v>8</v>
      </c>
      <c r="I319" s="20"/>
      <c r="J319" s="20">
        <v>9</v>
      </c>
      <c r="K319" s="20">
        <v>10</v>
      </c>
      <c r="L319" s="20">
        <v>11</v>
      </c>
      <c r="M319" s="19">
        <v>9</v>
      </c>
      <c r="N319" s="19">
        <v>10</v>
      </c>
      <c r="O319" s="19">
        <v>11</v>
      </c>
      <c r="P319" s="21">
        <v>12</v>
      </c>
      <c r="Q319" s="22"/>
      <c r="R319" s="2321"/>
      <c r="S319" s="23"/>
    </row>
    <row r="320" spans="1:31" ht="27">
      <c r="A320" s="353">
        <v>246</v>
      </c>
      <c r="B320" s="354">
        <v>1</v>
      </c>
      <c r="C320" s="355" t="s">
        <v>698</v>
      </c>
      <c r="D320" s="356" t="s">
        <v>699</v>
      </c>
      <c r="E320" s="357" t="s">
        <v>700</v>
      </c>
      <c r="F320" s="358">
        <v>200000</v>
      </c>
      <c r="G320" s="359">
        <f>1600*1.05</f>
        <v>1680</v>
      </c>
      <c r="H320" s="360">
        <f>G320*F320</f>
        <v>336000000</v>
      </c>
      <c r="I320" s="81">
        <v>200000</v>
      </c>
      <c r="J320" s="32">
        <v>3000</v>
      </c>
      <c r="K320" s="32">
        <f>I320*J320</f>
        <v>600000000</v>
      </c>
      <c r="L320" s="30">
        <f>J320-G320</f>
        <v>1320</v>
      </c>
      <c r="M320" s="361" t="s">
        <v>701</v>
      </c>
      <c r="N320" s="360"/>
      <c r="O320" s="362"/>
      <c r="P320" s="116" t="s">
        <v>702</v>
      </c>
      <c r="Q320" s="115"/>
    </row>
    <row r="321" spans="1:31" ht="27">
      <c r="A321" s="363">
        <v>247</v>
      </c>
      <c r="B321" s="364">
        <v>2</v>
      </c>
      <c r="C321" s="365" t="s">
        <v>703</v>
      </c>
      <c r="D321" s="366" t="s">
        <v>704</v>
      </c>
      <c r="E321" s="367" t="s">
        <v>700</v>
      </c>
      <c r="F321" s="368">
        <v>3000</v>
      </c>
      <c r="G321" s="369">
        <f>12000*1.05</f>
        <v>12600</v>
      </c>
      <c r="H321" s="370">
        <f>G321*F321</f>
        <v>37800000</v>
      </c>
      <c r="I321" s="43">
        <v>3000</v>
      </c>
      <c r="J321" s="44">
        <v>14500</v>
      </c>
      <c r="K321" s="32">
        <f>I321*J321</f>
        <v>43500000</v>
      </c>
      <c r="L321" s="30">
        <f>J321-G321</f>
        <v>1900</v>
      </c>
      <c r="M321" s="371" t="s">
        <v>705</v>
      </c>
      <c r="N321" s="370"/>
      <c r="O321" s="370"/>
      <c r="P321" s="116" t="s">
        <v>702</v>
      </c>
      <c r="Q321" s="115"/>
    </row>
    <row r="322" spans="1:31" ht="27">
      <c r="A322" s="363">
        <v>248</v>
      </c>
      <c r="B322" s="364">
        <v>3</v>
      </c>
      <c r="C322" s="365" t="s">
        <v>706</v>
      </c>
      <c r="D322" s="366" t="s">
        <v>707</v>
      </c>
      <c r="E322" s="367" t="s">
        <v>700</v>
      </c>
      <c r="F322" s="368">
        <v>160000</v>
      </c>
      <c r="G322" s="369">
        <f>3500*1.05</f>
        <v>3675</v>
      </c>
      <c r="H322" s="370">
        <f>G322*F322</f>
        <v>588000000</v>
      </c>
      <c r="I322" s="43">
        <v>160000</v>
      </c>
      <c r="J322" s="44">
        <v>4500</v>
      </c>
      <c r="K322" s="32">
        <f>I322*J322</f>
        <v>720000000</v>
      </c>
      <c r="L322" s="30">
        <f>J322-G322</f>
        <v>825</v>
      </c>
      <c r="M322" s="371" t="s">
        <v>708</v>
      </c>
      <c r="N322" s="370"/>
      <c r="O322" s="370"/>
      <c r="P322" s="116" t="s">
        <v>702</v>
      </c>
      <c r="Q322" s="115"/>
    </row>
    <row r="323" spans="1:31" ht="27">
      <c r="A323" s="363">
        <v>249</v>
      </c>
      <c r="B323" s="364">
        <v>4</v>
      </c>
      <c r="C323" s="365" t="s">
        <v>709</v>
      </c>
      <c r="D323" s="366" t="s">
        <v>699</v>
      </c>
      <c r="E323" s="367" t="s">
        <v>700</v>
      </c>
      <c r="F323" s="368">
        <v>700000</v>
      </c>
      <c r="G323" s="369">
        <f>1000*1.05</f>
        <v>1050</v>
      </c>
      <c r="H323" s="370">
        <f>G323*F323</f>
        <v>735000000</v>
      </c>
      <c r="I323" s="43">
        <v>700000</v>
      </c>
      <c r="J323" s="44">
        <v>1300</v>
      </c>
      <c r="K323" s="32">
        <f>I323*J323</f>
        <v>910000000</v>
      </c>
      <c r="L323" s="30">
        <f>J323-G323</f>
        <v>250</v>
      </c>
      <c r="M323" s="371" t="s">
        <v>710</v>
      </c>
      <c r="N323" s="372"/>
      <c r="O323" s="370"/>
      <c r="P323" s="116" t="s">
        <v>702</v>
      </c>
      <c r="Q323" s="115"/>
    </row>
    <row r="324" spans="1:31" ht="27">
      <c r="A324" s="373">
        <v>250</v>
      </c>
      <c r="B324" s="374">
        <v>5</v>
      </c>
      <c r="C324" s="375" t="s">
        <v>711</v>
      </c>
      <c r="D324" s="376" t="s">
        <v>712</v>
      </c>
      <c r="E324" s="377" t="s">
        <v>700</v>
      </c>
      <c r="F324" s="378">
        <v>6000</v>
      </c>
      <c r="G324" s="379">
        <f>12000*1.05</f>
        <v>12600</v>
      </c>
      <c r="H324" s="380">
        <f>G324*F324</f>
        <v>75600000</v>
      </c>
      <c r="I324" s="99">
        <v>6000</v>
      </c>
      <c r="J324" s="54">
        <v>16000</v>
      </c>
      <c r="K324" s="32">
        <f>I324*J324</f>
        <v>96000000</v>
      </c>
      <c r="L324" s="30">
        <f>J324-G324</f>
        <v>3400</v>
      </c>
      <c r="M324" s="381" t="s">
        <v>705</v>
      </c>
      <c r="N324" s="382"/>
      <c r="O324" s="383"/>
      <c r="P324" s="116" t="s">
        <v>702</v>
      </c>
      <c r="Q324" s="115"/>
    </row>
    <row r="325" spans="1:31">
      <c r="A325" s="384"/>
      <c r="B325" s="385"/>
      <c r="C325" s="386" t="s">
        <v>713</v>
      </c>
      <c r="D325" s="387"/>
      <c r="E325" s="387"/>
      <c r="F325" s="387"/>
      <c r="G325" s="388"/>
      <c r="H325" s="2288">
        <f>SUM(H320:H324)</f>
        <v>1772400000</v>
      </c>
      <c r="I325" s="388"/>
      <c r="J325" s="388"/>
      <c r="K325" s="388">
        <f>SUM(K320:K324)</f>
        <v>2369500000</v>
      </c>
      <c r="L325" s="388"/>
      <c r="M325" s="389"/>
      <c r="N325" s="390"/>
      <c r="O325" s="388"/>
      <c r="P325" s="142"/>
      <c r="Q325" s="115"/>
    </row>
    <row r="326" spans="1:31">
      <c r="A326" s="391"/>
      <c r="B326" s="392"/>
      <c r="C326" s="2114" t="s">
        <v>714</v>
      </c>
      <c r="D326" s="2114"/>
      <c r="E326" s="2114"/>
      <c r="F326" s="2114"/>
      <c r="G326" s="2114"/>
      <c r="H326" s="2114"/>
      <c r="I326" s="2114"/>
      <c r="J326" s="2114"/>
      <c r="K326" s="2114"/>
      <c r="L326" s="2114"/>
      <c r="M326" s="2114"/>
      <c r="N326" s="2114"/>
      <c r="O326" s="2114"/>
    </row>
    <row r="327" spans="1:31">
      <c r="A327" s="391"/>
      <c r="B327" s="392"/>
      <c r="C327" s="393"/>
      <c r="D327" s="393"/>
      <c r="E327" s="393"/>
      <c r="F327" s="393"/>
      <c r="G327" s="393"/>
      <c r="H327" s="393"/>
      <c r="I327" s="393"/>
      <c r="J327" s="393"/>
      <c r="K327" s="393"/>
      <c r="L327" s="393"/>
      <c r="M327" s="393"/>
      <c r="N327" s="393"/>
      <c r="O327" s="393"/>
    </row>
    <row r="328" spans="1:31">
      <c r="A328" s="391"/>
      <c r="B328" s="392"/>
      <c r="C328" s="393"/>
      <c r="D328" s="393"/>
      <c r="E328" s="393"/>
      <c r="F328" s="393"/>
      <c r="G328" s="393"/>
      <c r="H328" s="393"/>
      <c r="I328" s="393"/>
      <c r="J328" s="393"/>
      <c r="K328" s="393"/>
      <c r="L328" s="393"/>
      <c r="M328" s="393"/>
      <c r="N328" s="393"/>
      <c r="O328" s="393"/>
    </row>
    <row r="329" spans="1:31">
      <c r="A329" s="391"/>
      <c r="B329" s="392"/>
      <c r="C329" s="393"/>
      <c r="D329" s="393"/>
      <c r="E329" s="393"/>
      <c r="F329" s="393"/>
      <c r="G329" s="393"/>
      <c r="H329" s="393"/>
      <c r="I329" s="393"/>
      <c r="J329" s="393"/>
      <c r="K329" s="393"/>
      <c r="L329" s="393"/>
      <c r="M329" s="393"/>
      <c r="N329" s="393"/>
      <c r="O329" s="393"/>
    </row>
    <row r="331" spans="1:31">
      <c r="A331" s="71" t="s">
        <v>715</v>
      </c>
    </row>
    <row r="333" spans="1:31" s="12" customFormat="1">
      <c r="A333" s="2092" t="s">
        <v>5</v>
      </c>
      <c r="B333" s="2092" t="s">
        <v>6</v>
      </c>
      <c r="C333" s="2094" t="s">
        <v>7</v>
      </c>
      <c r="D333" s="2096" t="s">
        <v>8</v>
      </c>
      <c r="E333" s="2092" t="s">
        <v>9</v>
      </c>
      <c r="F333" s="2098" t="s">
        <v>10</v>
      </c>
      <c r="G333" s="2098"/>
      <c r="H333" s="2098"/>
      <c r="I333" s="2098" t="s">
        <v>11</v>
      </c>
      <c r="J333" s="2098"/>
      <c r="K333" s="2098"/>
      <c r="L333" s="2099" t="s">
        <v>12</v>
      </c>
      <c r="M333" s="9"/>
      <c r="N333" s="9"/>
      <c r="O333" s="9"/>
      <c r="P333" s="2101" t="s">
        <v>13</v>
      </c>
      <c r="Q333" s="2265" t="s">
        <v>4740</v>
      </c>
      <c r="R333" s="2319" t="s">
        <v>4754</v>
      </c>
      <c r="S333" s="2267" t="s">
        <v>4767</v>
      </c>
      <c r="T333" s="2268"/>
      <c r="U333" s="2268"/>
      <c r="V333" s="2268"/>
      <c r="W333" s="2269"/>
      <c r="X333" s="2267" t="s">
        <v>4768</v>
      </c>
      <c r="Y333" s="2268"/>
      <c r="Z333" s="2268"/>
      <c r="AA333" s="2268"/>
      <c r="AB333" s="2268"/>
      <c r="AC333" s="2268"/>
      <c r="AD333" s="2268"/>
      <c r="AE333" s="2269"/>
    </row>
    <row r="334" spans="1:31" s="16" customFormat="1" ht="27">
      <c r="A334" s="2093"/>
      <c r="B334" s="2093"/>
      <c r="C334" s="2095"/>
      <c r="D334" s="2097"/>
      <c r="E334" s="2093"/>
      <c r="F334" s="13" t="s">
        <v>14</v>
      </c>
      <c r="G334" s="13" t="s">
        <v>15</v>
      </c>
      <c r="H334" s="13" t="s">
        <v>16</v>
      </c>
      <c r="I334" s="13" t="s">
        <v>14</v>
      </c>
      <c r="J334" s="13" t="s">
        <v>15</v>
      </c>
      <c r="K334" s="13" t="s">
        <v>16</v>
      </c>
      <c r="L334" s="2100"/>
      <c r="M334" s="14" t="s">
        <v>17</v>
      </c>
      <c r="N334" s="14" t="s">
        <v>18</v>
      </c>
      <c r="O334" s="14" t="s">
        <v>19</v>
      </c>
      <c r="P334" s="2102"/>
      <c r="Q334" s="2266"/>
      <c r="R334" s="2320"/>
      <c r="S334" s="2263" t="s">
        <v>4755</v>
      </c>
      <c r="T334" s="2263" t="s">
        <v>4756</v>
      </c>
      <c r="U334" s="2263" t="s">
        <v>4757</v>
      </c>
      <c r="V334" s="2263" t="s">
        <v>4758</v>
      </c>
      <c r="W334" s="2263" t="s">
        <v>4759</v>
      </c>
      <c r="X334" s="2264" t="s">
        <v>4760</v>
      </c>
      <c r="Y334" s="2264" t="s">
        <v>4761</v>
      </c>
      <c r="Z334" s="2264" t="s">
        <v>4762</v>
      </c>
      <c r="AA334" s="2264" t="s">
        <v>4763</v>
      </c>
      <c r="AB334" s="2264" t="s">
        <v>4764</v>
      </c>
      <c r="AC334" s="2264" t="s">
        <v>4765</v>
      </c>
      <c r="AD334" s="2264" t="s">
        <v>4766</v>
      </c>
      <c r="AE334" s="2264" t="s">
        <v>4755</v>
      </c>
    </row>
    <row r="335" spans="1:31" s="24" customFormat="1">
      <c r="A335" s="17">
        <v>1</v>
      </c>
      <c r="B335" s="17">
        <v>2</v>
      </c>
      <c r="C335" s="18">
        <v>3</v>
      </c>
      <c r="D335" s="19">
        <v>4</v>
      </c>
      <c r="E335" s="17">
        <v>5</v>
      </c>
      <c r="F335" s="13">
        <v>6</v>
      </c>
      <c r="G335" s="20">
        <v>7</v>
      </c>
      <c r="H335" s="20">
        <v>8</v>
      </c>
      <c r="I335" s="20"/>
      <c r="J335" s="20">
        <v>9</v>
      </c>
      <c r="K335" s="20">
        <v>10</v>
      </c>
      <c r="L335" s="20">
        <v>11</v>
      </c>
      <c r="M335" s="19">
        <v>9</v>
      </c>
      <c r="N335" s="19">
        <v>10</v>
      </c>
      <c r="O335" s="19">
        <v>11</v>
      </c>
      <c r="P335" s="21">
        <v>12</v>
      </c>
      <c r="Q335" s="22"/>
      <c r="R335" s="2321"/>
      <c r="S335" s="23"/>
    </row>
    <row r="336" spans="1:31" ht="18">
      <c r="A336" s="394">
        <v>251</v>
      </c>
      <c r="B336" s="394">
        <v>1</v>
      </c>
      <c r="C336" s="395" t="s">
        <v>716</v>
      </c>
      <c r="D336" s="394" t="s">
        <v>717</v>
      </c>
      <c r="E336" s="394" t="s">
        <v>47</v>
      </c>
      <c r="F336" s="394">
        <v>800</v>
      </c>
      <c r="G336" s="396">
        <v>110000</v>
      </c>
      <c r="H336" s="397">
        <f>F336*G336</f>
        <v>88000000</v>
      </c>
      <c r="I336" s="277">
        <v>800</v>
      </c>
      <c r="J336" s="278">
        <v>115000</v>
      </c>
      <c r="K336" s="278">
        <f>I336*J336</f>
        <v>92000000</v>
      </c>
      <c r="L336" s="279">
        <f t="shared" ref="L336:L374" si="28">J336-G336</f>
        <v>5000</v>
      </c>
      <c r="M336" s="398" t="s">
        <v>718</v>
      </c>
      <c r="N336" s="398" t="s">
        <v>719</v>
      </c>
      <c r="O336" s="399" t="s">
        <v>720</v>
      </c>
      <c r="P336" s="400" t="s">
        <v>721</v>
      </c>
      <c r="Q336" s="115"/>
    </row>
    <row r="337" spans="1:29" ht="22.9" customHeight="1">
      <c r="A337" s="300">
        <v>252</v>
      </c>
      <c r="B337" s="300">
        <v>2</v>
      </c>
      <c r="C337" s="301" t="s">
        <v>722</v>
      </c>
      <c r="D337" s="300" t="s">
        <v>717</v>
      </c>
      <c r="E337" s="300" t="s">
        <v>47</v>
      </c>
      <c r="F337" s="300">
        <v>100</v>
      </c>
      <c r="G337" s="401">
        <v>160000</v>
      </c>
      <c r="H337" s="304">
        <f t="shared" ref="H337:H374" si="29">F337*G337</f>
        <v>16000000</v>
      </c>
      <c r="I337" s="287">
        <v>100</v>
      </c>
      <c r="J337" s="164">
        <v>168000</v>
      </c>
      <c r="K337" s="164">
        <f t="shared" ref="K337:K374" si="30">I337*J337</f>
        <v>16800000</v>
      </c>
      <c r="L337" s="288">
        <f t="shared" si="28"/>
        <v>8000</v>
      </c>
      <c r="M337" s="302" t="s">
        <v>718</v>
      </c>
      <c r="N337" s="302" t="s">
        <v>723</v>
      </c>
      <c r="O337" s="402" t="s">
        <v>720</v>
      </c>
      <c r="P337" s="403" t="s">
        <v>721</v>
      </c>
      <c r="Q337" s="115"/>
    </row>
    <row r="338" spans="1:29" ht="22.9" customHeight="1">
      <c r="A338" s="300">
        <v>253</v>
      </c>
      <c r="B338" s="300">
        <v>3</v>
      </c>
      <c r="C338" s="301" t="s">
        <v>724</v>
      </c>
      <c r="D338" s="300" t="s">
        <v>725</v>
      </c>
      <c r="E338" s="300" t="s">
        <v>47</v>
      </c>
      <c r="F338" s="300">
        <v>1400</v>
      </c>
      <c r="G338" s="401">
        <v>140000</v>
      </c>
      <c r="H338" s="304">
        <f t="shared" si="29"/>
        <v>196000000</v>
      </c>
      <c r="I338" s="287">
        <v>1400</v>
      </c>
      <c r="J338" s="164">
        <v>147000</v>
      </c>
      <c r="K338" s="164">
        <f t="shared" si="30"/>
        <v>205800000</v>
      </c>
      <c r="L338" s="288">
        <f t="shared" si="28"/>
        <v>7000</v>
      </c>
      <c r="M338" s="302" t="s">
        <v>718</v>
      </c>
      <c r="N338" s="302" t="s">
        <v>726</v>
      </c>
      <c r="O338" s="402" t="s">
        <v>727</v>
      </c>
      <c r="P338" s="403" t="s">
        <v>721</v>
      </c>
      <c r="Q338" s="115"/>
    </row>
    <row r="339" spans="1:29" ht="22.9" customHeight="1">
      <c r="A339" s="300">
        <v>254</v>
      </c>
      <c r="B339" s="300">
        <v>4</v>
      </c>
      <c r="C339" s="301" t="s">
        <v>728</v>
      </c>
      <c r="D339" s="300" t="s">
        <v>729</v>
      </c>
      <c r="E339" s="300" t="s">
        <v>47</v>
      </c>
      <c r="F339" s="300">
        <v>300</v>
      </c>
      <c r="G339" s="401">
        <v>170000</v>
      </c>
      <c r="H339" s="304">
        <f t="shared" si="29"/>
        <v>51000000</v>
      </c>
      <c r="I339" s="287">
        <v>300</v>
      </c>
      <c r="J339" s="164">
        <v>178000</v>
      </c>
      <c r="K339" s="164">
        <f t="shared" si="30"/>
        <v>53400000</v>
      </c>
      <c r="L339" s="288">
        <f t="shared" si="28"/>
        <v>8000</v>
      </c>
      <c r="M339" s="302" t="s">
        <v>718</v>
      </c>
      <c r="N339" s="302" t="s">
        <v>730</v>
      </c>
      <c r="O339" s="402" t="s">
        <v>720</v>
      </c>
      <c r="P339" s="403" t="s">
        <v>721</v>
      </c>
      <c r="Q339" s="115"/>
    </row>
    <row r="340" spans="1:29" ht="22.9" customHeight="1">
      <c r="A340" s="300">
        <v>255</v>
      </c>
      <c r="B340" s="300">
        <v>5</v>
      </c>
      <c r="C340" s="301" t="s">
        <v>731</v>
      </c>
      <c r="D340" s="300" t="s">
        <v>729</v>
      </c>
      <c r="E340" s="300" t="s">
        <v>47</v>
      </c>
      <c r="F340" s="300">
        <v>30</v>
      </c>
      <c r="G340" s="401">
        <v>200000</v>
      </c>
      <c r="H340" s="304">
        <f t="shared" si="29"/>
        <v>6000000</v>
      </c>
      <c r="I340" s="287">
        <v>30</v>
      </c>
      <c r="J340" s="164">
        <v>210000</v>
      </c>
      <c r="K340" s="164">
        <f t="shared" si="30"/>
        <v>6300000</v>
      </c>
      <c r="L340" s="288">
        <f t="shared" si="28"/>
        <v>10000</v>
      </c>
      <c r="M340" s="302" t="s">
        <v>718</v>
      </c>
      <c r="N340" s="302" t="s">
        <v>732</v>
      </c>
      <c r="O340" s="402" t="s">
        <v>720</v>
      </c>
      <c r="P340" s="403" t="s">
        <v>721</v>
      </c>
      <c r="Q340" s="115"/>
    </row>
    <row r="341" spans="1:29" ht="22.9" customHeight="1">
      <c r="A341" s="300">
        <v>256</v>
      </c>
      <c r="B341" s="300">
        <v>6</v>
      </c>
      <c r="C341" s="301" t="s">
        <v>733</v>
      </c>
      <c r="D341" s="300" t="s">
        <v>734</v>
      </c>
      <c r="E341" s="300" t="s">
        <v>47</v>
      </c>
      <c r="F341" s="300">
        <v>50</v>
      </c>
      <c r="G341" s="401">
        <v>550000</v>
      </c>
      <c r="H341" s="304">
        <f t="shared" si="29"/>
        <v>27500000</v>
      </c>
      <c r="I341" s="287">
        <v>50</v>
      </c>
      <c r="J341" s="164">
        <v>557000</v>
      </c>
      <c r="K341" s="164">
        <f t="shared" si="30"/>
        <v>27850000</v>
      </c>
      <c r="L341" s="288">
        <f t="shared" si="28"/>
        <v>7000</v>
      </c>
      <c r="M341" s="302" t="s">
        <v>718</v>
      </c>
      <c r="N341" s="404" t="s">
        <v>735</v>
      </c>
      <c r="O341" s="402" t="s">
        <v>727</v>
      </c>
      <c r="P341" s="403" t="s">
        <v>721</v>
      </c>
      <c r="Q341" s="115"/>
    </row>
    <row r="342" spans="1:29" ht="22.9" customHeight="1">
      <c r="A342" s="300">
        <v>257</v>
      </c>
      <c r="B342" s="300">
        <v>7</v>
      </c>
      <c r="C342" s="301" t="s">
        <v>736</v>
      </c>
      <c r="D342" s="300" t="s">
        <v>734</v>
      </c>
      <c r="E342" s="300" t="s">
        <v>47</v>
      </c>
      <c r="F342" s="300">
        <v>80</v>
      </c>
      <c r="G342" s="401">
        <v>800000</v>
      </c>
      <c r="H342" s="304">
        <f t="shared" si="29"/>
        <v>64000000</v>
      </c>
      <c r="I342" s="287">
        <v>80</v>
      </c>
      <c r="J342" s="164">
        <v>840000</v>
      </c>
      <c r="K342" s="164">
        <f t="shared" si="30"/>
        <v>67200000</v>
      </c>
      <c r="L342" s="288">
        <f t="shared" si="28"/>
        <v>40000</v>
      </c>
      <c r="M342" s="302" t="s">
        <v>718</v>
      </c>
      <c r="N342" s="302" t="s">
        <v>737</v>
      </c>
      <c r="O342" s="402" t="s">
        <v>727</v>
      </c>
      <c r="P342" s="403" t="s">
        <v>721</v>
      </c>
      <c r="Q342" s="115"/>
    </row>
    <row r="343" spans="1:29" s="73" customFormat="1" ht="22.9" customHeight="1">
      <c r="A343" s="300">
        <v>258</v>
      </c>
      <c r="B343" s="300">
        <v>8</v>
      </c>
      <c r="C343" s="301" t="s">
        <v>738</v>
      </c>
      <c r="D343" s="300" t="s">
        <v>734</v>
      </c>
      <c r="E343" s="300" t="s">
        <v>47</v>
      </c>
      <c r="F343" s="300">
        <v>65</v>
      </c>
      <c r="G343" s="401">
        <v>900000</v>
      </c>
      <c r="H343" s="304">
        <f t="shared" si="29"/>
        <v>58500000</v>
      </c>
      <c r="I343" s="287">
        <v>65</v>
      </c>
      <c r="J343" s="164">
        <v>945000</v>
      </c>
      <c r="K343" s="164">
        <f t="shared" si="30"/>
        <v>61425000</v>
      </c>
      <c r="L343" s="288">
        <f t="shared" si="28"/>
        <v>45000</v>
      </c>
      <c r="M343" s="302" t="s">
        <v>718</v>
      </c>
      <c r="N343" s="302" t="s">
        <v>739</v>
      </c>
      <c r="O343" s="402" t="s">
        <v>727</v>
      </c>
      <c r="P343" s="403" t="s">
        <v>721</v>
      </c>
      <c r="Q343" s="115"/>
      <c r="R343" s="1024"/>
      <c r="S343" s="75"/>
      <c r="T343" s="71"/>
      <c r="U343" s="71"/>
      <c r="V343" s="71"/>
      <c r="W343" s="71"/>
      <c r="X343" s="71"/>
      <c r="Y343" s="71"/>
      <c r="Z343" s="71"/>
      <c r="AA343" s="71"/>
      <c r="AB343" s="71"/>
      <c r="AC343" s="71"/>
    </row>
    <row r="344" spans="1:29" s="73" customFormat="1" ht="22.9" customHeight="1">
      <c r="A344" s="300">
        <v>259</v>
      </c>
      <c r="B344" s="300">
        <v>9</v>
      </c>
      <c r="C344" s="405" t="s">
        <v>740</v>
      </c>
      <c r="D344" s="300" t="s">
        <v>734</v>
      </c>
      <c r="E344" s="300" t="s">
        <v>47</v>
      </c>
      <c r="F344" s="300">
        <v>70</v>
      </c>
      <c r="G344" s="401">
        <v>1000000</v>
      </c>
      <c r="H344" s="304">
        <f t="shared" si="29"/>
        <v>70000000</v>
      </c>
      <c r="I344" s="287">
        <v>70</v>
      </c>
      <c r="J344" s="164">
        <v>1050000</v>
      </c>
      <c r="K344" s="164">
        <f t="shared" si="30"/>
        <v>73500000</v>
      </c>
      <c r="L344" s="288">
        <f t="shared" si="28"/>
        <v>50000</v>
      </c>
      <c r="M344" s="302" t="s">
        <v>718</v>
      </c>
      <c r="N344" s="302" t="s">
        <v>739</v>
      </c>
      <c r="O344" s="402" t="s">
        <v>727</v>
      </c>
      <c r="P344" s="403" t="s">
        <v>721</v>
      </c>
      <c r="Q344" s="115"/>
      <c r="R344" s="1024"/>
      <c r="S344" s="75"/>
      <c r="T344" s="71"/>
      <c r="U344" s="71"/>
      <c r="V344" s="71"/>
      <c r="W344" s="71"/>
      <c r="X344" s="71"/>
      <c r="Y344" s="71"/>
      <c r="Z344" s="71"/>
      <c r="AA344" s="71"/>
      <c r="AB344" s="71"/>
      <c r="AC344" s="71"/>
    </row>
    <row r="345" spans="1:29" s="73" customFormat="1" ht="22.9" customHeight="1">
      <c r="A345" s="300">
        <v>260</v>
      </c>
      <c r="B345" s="300">
        <v>10</v>
      </c>
      <c r="C345" s="405" t="s">
        <v>741</v>
      </c>
      <c r="D345" s="300" t="s">
        <v>734</v>
      </c>
      <c r="E345" s="300" t="s">
        <v>47</v>
      </c>
      <c r="F345" s="300">
        <v>2</v>
      </c>
      <c r="G345" s="401">
        <v>700000</v>
      </c>
      <c r="H345" s="304">
        <f t="shared" si="29"/>
        <v>1400000</v>
      </c>
      <c r="I345" s="287">
        <v>2.4</v>
      </c>
      <c r="J345" s="164">
        <v>740000</v>
      </c>
      <c r="K345" s="164">
        <f t="shared" si="30"/>
        <v>1776000</v>
      </c>
      <c r="L345" s="288">
        <f t="shared" si="28"/>
        <v>40000</v>
      </c>
      <c r="M345" s="302" t="s">
        <v>718</v>
      </c>
      <c r="N345" s="406" t="s">
        <v>742</v>
      </c>
      <c r="O345" s="402" t="s">
        <v>727</v>
      </c>
      <c r="P345" s="403" t="s">
        <v>721</v>
      </c>
      <c r="Q345" s="115"/>
      <c r="R345" s="1024"/>
      <c r="S345" s="75"/>
      <c r="T345" s="71"/>
      <c r="U345" s="71"/>
      <c r="V345" s="71"/>
      <c r="W345" s="71"/>
      <c r="X345" s="71"/>
      <c r="Y345" s="71"/>
      <c r="Z345" s="71"/>
      <c r="AA345" s="71"/>
      <c r="AB345" s="71"/>
      <c r="AC345" s="71"/>
    </row>
    <row r="346" spans="1:29" s="73" customFormat="1" ht="22.9" customHeight="1">
      <c r="A346" s="300">
        <v>261</v>
      </c>
      <c r="B346" s="300">
        <v>11</v>
      </c>
      <c r="C346" s="301" t="s">
        <v>743</v>
      </c>
      <c r="D346" s="300" t="s">
        <v>734</v>
      </c>
      <c r="E346" s="300" t="s">
        <v>47</v>
      </c>
      <c r="F346" s="300">
        <v>50</v>
      </c>
      <c r="G346" s="401">
        <v>1000000</v>
      </c>
      <c r="H346" s="304">
        <f t="shared" si="29"/>
        <v>50000000</v>
      </c>
      <c r="I346" s="287">
        <v>50</v>
      </c>
      <c r="J346" s="164">
        <v>1050000</v>
      </c>
      <c r="K346" s="164">
        <f t="shared" si="30"/>
        <v>52500000</v>
      </c>
      <c r="L346" s="288">
        <f t="shared" si="28"/>
        <v>50000</v>
      </c>
      <c r="M346" s="302" t="s">
        <v>718</v>
      </c>
      <c r="N346" s="302" t="s">
        <v>744</v>
      </c>
      <c r="O346" s="402" t="s">
        <v>727</v>
      </c>
      <c r="P346" s="403" t="s">
        <v>721</v>
      </c>
      <c r="Q346" s="115"/>
      <c r="R346" s="1024"/>
      <c r="S346" s="75"/>
      <c r="T346" s="71"/>
      <c r="U346" s="71"/>
      <c r="V346" s="71"/>
      <c r="W346" s="71"/>
      <c r="X346" s="71"/>
      <c r="Y346" s="71"/>
      <c r="Z346" s="71"/>
      <c r="AA346" s="71"/>
      <c r="AB346" s="71"/>
      <c r="AC346" s="71"/>
    </row>
    <row r="347" spans="1:29" s="73" customFormat="1" ht="22.9" customHeight="1">
      <c r="A347" s="300">
        <v>262</v>
      </c>
      <c r="B347" s="300">
        <v>12</v>
      </c>
      <c r="C347" s="301" t="s">
        <v>745</v>
      </c>
      <c r="D347" s="300" t="s">
        <v>734</v>
      </c>
      <c r="E347" s="300" t="s">
        <v>260</v>
      </c>
      <c r="F347" s="300">
        <v>100</v>
      </c>
      <c r="G347" s="401">
        <v>400000</v>
      </c>
      <c r="H347" s="304">
        <f t="shared" si="29"/>
        <v>40000000</v>
      </c>
      <c r="I347" s="287">
        <v>100</v>
      </c>
      <c r="J347" s="164">
        <v>420000</v>
      </c>
      <c r="K347" s="164">
        <f t="shared" si="30"/>
        <v>42000000</v>
      </c>
      <c r="L347" s="288">
        <f t="shared" si="28"/>
        <v>20000</v>
      </c>
      <c r="M347" s="302" t="s">
        <v>718</v>
      </c>
      <c r="N347" s="302" t="s">
        <v>746</v>
      </c>
      <c r="O347" s="402" t="s">
        <v>727</v>
      </c>
      <c r="P347" s="403" t="s">
        <v>721</v>
      </c>
      <c r="Q347" s="115"/>
      <c r="R347" s="1024"/>
      <c r="S347" s="75"/>
      <c r="T347" s="71"/>
      <c r="U347" s="71"/>
      <c r="V347" s="71"/>
      <c r="W347" s="71"/>
      <c r="X347" s="71"/>
      <c r="Y347" s="71"/>
      <c r="Z347" s="71"/>
      <c r="AA347" s="71"/>
      <c r="AB347" s="71"/>
      <c r="AC347" s="71"/>
    </row>
    <row r="348" spans="1:29" s="73" customFormat="1" ht="22.9" customHeight="1">
      <c r="A348" s="300">
        <v>263</v>
      </c>
      <c r="B348" s="300">
        <v>13</v>
      </c>
      <c r="C348" s="405" t="s">
        <v>747</v>
      </c>
      <c r="D348" s="300" t="s">
        <v>734</v>
      </c>
      <c r="E348" s="300" t="s">
        <v>47</v>
      </c>
      <c r="F348" s="300">
        <v>300</v>
      </c>
      <c r="G348" s="401">
        <v>100000</v>
      </c>
      <c r="H348" s="304">
        <f t="shared" si="29"/>
        <v>30000000</v>
      </c>
      <c r="I348" s="287">
        <v>300</v>
      </c>
      <c r="J348" s="164">
        <v>105000</v>
      </c>
      <c r="K348" s="164">
        <f t="shared" si="30"/>
        <v>31500000</v>
      </c>
      <c r="L348" s="288">
        <f t="shared" si="28"/>
        <v>5000</v>
      </c>
      <c r="M348" s="302" t="s">
        <v>718</v>
      </c>
      <c r="N348" s="302" t="s">
        <v>748</v>
      </c>
      <c r="O348" s="402" t="s">
        <v>727</v>
      </c>
      <c r="P348" s="403" t="s">
        <v>721</v>
      </c>
      <c r="Q348" s="115"/>
      <c r="R348" s="1024"/>
      <c r="S348" s="75"/>
      <c r="T348" s="71"/>
      <c r="U348" s="71"/>
      <c r="V348" s="71"/>
      <c r="W348" s="71"/>
      <c r="X348" s="71"/>
      <c r="Y348" s="71"/>
      <c r="Z348" s="71"/>
      <c r="AA348" s="71"/>
      <c r="AB348" s="71"/>
      <c r="AC348" s="71"/>
    </row>
    <row r="349" spans="1:29" s="73" customFormat="1" ht="22.9" customHeight="1">
      <c r="A349" s="300">
        <v>264</v>
      </c>
      <c r="B349" s="300">
        <v>14</v>
      </c>
      <c r="C349" s="405" t="s">
        <v>749</v>
      </c>
      <c r="D349" s="300" t="s">
        <v>734</v>
      </c>
      <c r="E349" s="300" t="s">
        <v>47</v>
      </c>
      <c r="F349" s="300">
        <v>30</v>
      </c>
      <c r="G349" s="401">
        <v>300000</v>
      </c>
      <c r="H349" s="304">
        <f t="shared" si="29"/>
        <v>9000000</v>
      </c>
      <c r="I349" s="287">
        <v>30</v>
      </c>
      <c r="J349" s="164">
        <v>315000</v>
      </c>
      <c r="K349" s="164">
        <f t="shared" si="30"/>
        <v>9450000</v>
      </c>
      <c r="L349" s="288">
        <f t="shared" si="28"/>
        <v>15000</v>
      </c>
      <c r="M349" s="302" t="s">
        <v>718</v>
      </c>
      <c r="N349" s="302" t="s">
        <v>750</v>
      </c>
      <c r="O349" s="402" t="s">
        <v>727</v>
      </c>
      <c r="P349" s="403" t="s">
        <v>721</v>
      </c>
      <c r="Q349" s="115"/>
      <c r="R349" s="1024"/>
      <c r="S349" s="75"/>
      <c r="T349" s="71"/>
      <c r="U349" s="71"/>
      <c r="V349" s="71"/>
      <c r="W349" s="71"/>
      <c r="X349" s="71"/>
      <c r="Y349" s="71"/>
      <c r="Z349" s="71"/>
      <c r="AA349" s="71"/>
      <c r="AB349" s="71"/>
      <c r="AC349" s="71"/>
    </row>
    <row r="350" spans="1:29" s="73" customFormat="1" ht="22.9" customHeight="1">
      <c r="A350" s="300">
        <v>265</v>
      </c>
      <c r="B350" s="300">
        <v>15</v>
      </c>
      <c r="C350" s="405" t="s">
        <v>751</v>
      </c>
      <c r="D350" s="300" t="s">
        <v>734</v>
      </c>
      <c r="E350" s="300" t="s">
        <v>47</v>
      </c>
      <c r="F350" s="300">
        <v>300</v>
      </c>
      <c r="G350" s="401">
        <v>300000</v>
      </c>
      <c r="H350" s="304">
        <f t="shared" si="29"/>
        <v>90000000</v>
      </c>
      <c r="I350" s="287">
        <v>300</v>
      </c>
      <c r="J350" s="164">
        <v>315000</v>
      </c>
      <c r="K350" s="164">
        <f t="shared" si="30"/>
        <v>94500000</v>
      </c>
      <c r="L350" s="288">
        <f t="shared" si="28"/>
        <v>15000</v>
      </c>
      <c r="M350" s="302" t="s">
        <v>718</v>
      </c>
      <c r="N350" s="302" t="s">
        <v>752</v>
      </c>
      <c r="O350" s="402" t="s">
        <v>727</v>
      </c>
      <c r="P350" s="403" t="s">
        <v>721</v>
      </c>
      <c r="Q350" s="115"/>
      <c r="R350" s="1024"/>
      <c r="S350" s="75"/>
      <c r="T350" s="71"/>
      <c r="U350" s="71"/>
      <c r="V350" s="71"/>
      <c r="W350" s="71"/>
      <c r="X350" s="71"/>
      <c r="Y350" s="71"/>
      <c r="Z350" s="71"/>
      <c r="AA350" s="71"/>
      <c r="AB350" s="71"/>
      <c r="AC350" s="71"/>
    </row>
    <row r="351" spans="1:29" s="73" customFormat="1" ht="22.9" customHeight="1">
      <c r="A351" s="300">
        <v>266</v>
      </c>
      <c r="B351" s="300">
        <v>16</v>
      </c>
      <c r="C351" s="301" t="s">
        <v>753</v>
      </c>
      <c r="D351" s="300" t="s">
        <v>725</v>
      </c>
      <c r="E351" s="300" t="s">
        <v>47</v>
      </c>
      <c r="F351" s="300">
        <v>10</v>
      </c>
      <c r="G351" s="401">
        <v>800000</v>
      </c>
      <c r="H351" s="304">
        <f t="shared" si="29"/>
        <v>8000000</v>
      </c>
      <c r="I351" s="287">
        <v>10</v>
      </c>
      <c r="J351" s="164">
        <v>840000</v>
      </c>
      <c r="K351" s="164">
        <f t="shared" si="30"/>
        <v>8400000</v>
      </c>
      <c r="L351" s="288">
        <f t="shared" si="28"/>
        <v>40000</v>
      </c>
      <c r="M351" s="302" t="s">
        <v>718</v>
      </c>
      <c r="N351" s="302" t="s">
        <v>754</v>
      </c>
      <c r="O351" s="402" t="s">
        <v>727</v>
      </c>
      <c r="P351" s="403" t="s">
        <v>721</v>
      </c>
      <c r="Q351" s="115"/>
      <c r="R351" s="1024"/>
      <c r="S351" s="75"/>
      <c r="T351" s="71"/>
      <c r="U351" s="71"/>
      <c r="V351" s="71"/>
      <c r="W351" s="71"/>
      <c r="X351" s="71"/>
      <c r="Y351" s="71"/>
      <c r="Z351" s="71"/>
      <c r="AA351" s="71"/>
      <c r="AB351" s="71"/>
      <c r="AC351" s="71"/>
    </row>
    <row r="352" spans="1:29" s="73" customFormat="1" ht="22.9" customHeight="1">
      <c r="A352" s="300">
        <v>267</v>
      </c>
      <c r="B352" s="300">
        <v>17</v>
      </c>
      <c r="C352" s="405" t="s">
        <v>755</v>
      </c>
      <c r="D352" s="300" t="s">
        <v>756</v>
      </c>
      <c r="E352" s="300" t="s">
        <v>47</v>
      </c>
      <c r="F352" s="300">
        <v>200</v>
      </c>
      <c r="G352" s="401">
        <v>250000</v>
      </c>
      <c r="H352" s="304">
        <f t="shared" si="29"/>
        <v>50000000</v>
      </c>
      <c r="I352" s="287">
        <v>200</v>
      </c>
      <c r="J352" s="164">
        <v>260000</v>
      </c>
      <c r="K352" s="164">
        <f t="shared" si="30"/>
        <v>52000000</v>
      </c>
      <c r="L352" s="288">
        <f t="shared" si="28"/>
        <v>10000</v>
      </c>
      <c r="M352" s="302" t="s">
        <v>718</v>
      </c>
      <c r="N352" s="407" t="s">
        <v>757</v>
      </c>
      <c r="O352" s="402" t="s">
        <v>727</v>
      </c>
      <c r="P352" s="403" t="s">
        <v>721</v>
      </c>
      <c r="Q352" s="115"/>
      <c r="R352" s="1024"/>
      <c r="S352" s="75"/>
      <c r="T352" s="71"/>
      <c r="U352" s="71"/>
      <c r="V352" s="71"/>
      <c r="W352" s="71"/>
      <c r="X352" s="71"/>
      <c r="Y352" s="71"/>
      <c r="Z352" s="71"/>
      <c r="AA352" s="71"/>
      <c r="AB352" s="71"/>
      <c r="AC352" s="71"/>
    </row>
    <row r="353" spans="1:29" s="73" customFormat="1" ht="22.9" customHeight="1">
      <c r="A353" s="300">
        <v>268</v>
      </c>
      <c r="B353" s="300">
        <v>18</v>
      </c>
      <c r="C353" s="301" t="s">
        <v>758</v>
      </c>
      <c r="D353" s="300" t="s">
        <v>734</v>
      </c>
      <c r="E353" s="300" t="s">
        <v>47</v>
      </c>
      <c r="F353" s="300">
        <v>10</v>
      </c>
      <c r="G353" s="401">
        <v>2000000</v>
      </c>
      <c r="H353" s="304">
        <f t="shared" si="29"/>
        <v>20000000</v>
      </c>
      <c r="I353" s="287">
        <v>10</v>
      </c>
      <c r="J353" s="164">
        <v>2100000</v>
      </c>
      <c r="K353" s="164">
        <f t="shared" si="30"/>
        <v>21000000</v>
      </c>
      <c r="L353" s="288">
        <f t="shared" si="28"/>
        <v>100000</v>
      </c>
      <c r="M353" s="302" t="s">
        <v>718</v>
      </c>
      <c r="N353" s="302" t="s">
        <v>759</v>
      </c>
      <c r="O353" s="402" t="s">
        <v>727</v>
      </c>
      <c r="P353" s="403" t="s">
        <v>721</v>
      </c>
      <c r="Q353" s="115"/>
      <c r="R353" s="1024"/>
      <c r="S353" s="75"/>
      <c r="T353" s="71"/>
      <c r="U353" s="71"/>
      <c r="V353" s="71"/>
      <c r="W353" s="71"/>
      <c r="X353" s="71"/>
      <c r="Y353" s="71"/>
      <c r="Z353" s="71"/>
      <c r="AA353" s="71"/>
      <c r="AB353" s="71"/>
      <c r="AC353" s="71"/>
    </row>
    <row r="354" spans="1:29" s="73" customFormat="1" ht="22.9" customHeight="1">
      <c r="A354" s="300">
        <v>269</v>
      </c>
      <c r="B354" s="300">
        <v>19</v>
      </c>
      <c r="C354" s="405" t="s">
        <v>760</v>
      </c>
      <c r="D354" s="300" t="s">
        <v>734</v>
      </c>
      <c r="E354" s="300" t="s">
        <v>47</v>
      </c>
      <c r="F354" s="300">
        <v>25</v>
      </c>
      <c r="G354" s="401">
        <v>800000</v>
      </c>
      <c r="H354" s="304">
        <f t="shared" si="29"/>
        <v>20000000</v>
      </c>
      <c r="I354" s="287">
        <v>25</v>
      </c>
      <c r="J354" s="164">
        <v>840000</v>
      </c>
      <c r="K354" s="164">
        <f t="shared" si="30"/>
        <v>21000000</v>
      </c>
      <c r="L354" s="288">
        <f t="shared" si="28"/>
        <v>40000</v>
      </c>
      <c r="M354" s="302" t="s">
        <v>718</v>
      </c>
      <c r="N354" s="302"/>
      <c r="O354" s="402" t="s">
        <v>727</v>
      </c>
      <c r="P354" s="403" t="s">
        <v>721</v>
      </c>
      <c r="Q354" s="115"/>
      <c r="R354" s="1024"/>
      <c r="S354" s="75"/>
      <c r="T354" s="71"/>
      <c r="U354" s="71"/>
      <c r="V354" s="71"/>
      <c r="W354" s="71"/>
      <c r="X354" s="71"/>
      <c r="Y354" s="71"/>
      <c r="Z354" s="71"/>
      <c r="AA354" s="71"/>
      <c r="AB354" s="71"/>
      <c r="AC354" s="71"/>
    </row>
    <row r="355" spans="1:29" s="73" customFormat="1" ht="22.9" customHeight="1">
      <c r="A355" s="300">
        <v>270</v>
      </c>
      <c r="B355" s="300">
        <v>20</v>
      </c>
      <c r="C355" s="405" t="s">
        <v>761</v>
      </c>
      <c r="D355" s="300" t="s">
        <v>734</v>
      </c>
      <c r="E355" s="300" t="s">
        <v>47</v>
      </c>
      <c r="F355" s="300">
        <v>15</v>
      </c>
      <c r="G355" s="401">
        <v>800000</v>
      </c>
      <c r="H355" s="304">
        <f t="shared" si="29"/>
        <v>12000000</v>
      </c>
      <c r="I355" s="287">
        <v>15</v>
      </c>
      <c r="J355" s="164">
        <v>840000</v>
      </c>
      <c r="K355" s="164">
        <f t="shared" si="30"/>
        <v>12600000</v>
      </c>
      <c r="L355" s="288">
        <f t="shared" si="28"/>
        <v>40000</v>
      </c>
      <c r="M355" s="302" t="s">
        <v>718</v>
      </c>
      <c r="N355" s="302"/>
      <c r="O355" s="402" t="s">
        <v>727</v>
      </c>
      <c r="P355" s="403" t="s">
        <v>721</v>
      </c>
      <c r="Q355" s="115"/>
      <c r="R355" s="1024"/>
      <c r="S355" s="75"/>
      <c r="T355" s="71"/>
      <c r="U355" s="71"/>
      <c r="V355" s="71"/>
      <c r="W355" s="71"/>
      <c r="X355" s="71"/>
      <c r="Y355" s="71"/>
      <c r="Z355" s="71"/>
      <c r="AA355" s="71"/>
      <c r="AB355" s="71"/>
      <c r="AC355" s="71"/>
    </row>
    <row r="356" spans="1:29" s="73" customFormat="1" ht="22.9" customHeight="1">
      <c r="A356" s="300">
        <v>271</v>
      </c>
      <c r="B356" s="300">
        <v>21</v>
      </c>
      <c r="C356" s="301" t="s">
        <v>762</v>
      </c>
      <c r="D356" s="300" t="s">
        <v>734</v>
      </c>
      <c r="E356" s="300" t="s">
        <v>47</v>
      </c>
      <c r="F356" s="300">
        <v>100</v>
      </c>
      <c r="G356" s="401">
        <v>4100000</v>
      </c>
      <c r="H356" s="304">
        <f t="shared" si="29"/>
        <v>410000000</v>
      </c>
      <c r="I356" s="287">
        <v>100</v>
      </c>
      <c r="J356" s="164">
        <v>4300000</v>
      </c>
      <c r="K356" s="164">
        <f t="shared" si="30"/>
        <v>430000000</v>
      </c>
      <c r="L356" s="288">
        <f t="shared" si="28"/>
        <v>200000</v>
      </c>
      <c r="M356" s="300" t="s">
        <v>763</v>
      </c>
      <c r="N356" s="302" t="s">
        <v>764</v>
      </c>
      <c r="O356" s="402" t="s">
        <v>727</v>
      </c>
      <c r="P356" s="403" t="s">
        <v>721</v>
      </c>
      <c r="Q356" s="115"/>
      <c r="R356" s="1024"/>
      <c r="S356" s="75"/>
      <c r="T356" s="71"/>
      <c r="U356" s="71"/>
      <c r="V356" s="71"/>
      <c r="W356" s="71"/>
      <c r="X356" s="71"/>
      <c r="Y356" s="71"/>
      <c r="Z356" s="71"/>
      <c r="AA356" s="71"/>
      <c r="AB356" s="71"/>
      <c r="AC356" s="71"/>
    </row>
    <row r="357" spans="1:29" s="73" customFormat="1" ht="22.9" customHeight="1">
      <c r="A357" s="300">
        <v>272</v>
      </c>
      <c r="B357" s="300">
        <v>22</v>
      </c>
      <c r="C357" s="301" t="s">
        <v>765</v>
      </c>
      <c r="D357" s="300" t="s">
        <v>766</v>
      </c>
      <c r="E357" s="300" t="s">
        <v>47</v>
      </c>
      <c r="F357" s="300">
        <v>250</v>
      </c>
      <c r="G357" s="401">
        <v>500000</v>
      </c>
      <c r="H357" s="304">
        <f t="shared" si="29"/>
        <v>125000000</v>
      </c>
      <c r="I357" s="287">
        <v>250</v>
      </c>
      <c r="J357" s="164">
        <v>525000</v>
      </c>
      <c r="K357" s="164">
        <f t="shared" si="30"/>
        <v>131250000</v>
      </c>
      <c r="L357" s="288">
        <f t="shared" si="28"/>
        <v>25000</v>
      </c>
      <c r="M357" s="300" t="s">
        <v>763</v>
      </c>
      <c r="N357" s="302" t="s">
        <v>767</v>
      </c>
      <c r="O357" s="402" t="s">
        <v>768</v>
      </c>
      <c r="P357" s="403" t="s">
        <v>721</v>
      </c>
      <c r="Q357" s="115"/>
      <c r="R357" s="1024"/>
      <c r="S357" s="75"/>
      <c r="T357" s="71"/>
      <c r="U357" s="71"/>
      <c r="V357" s="71"/>
      <c r="W357" s="71"/>
      <c r="X357" s="71"/>
      <c r="Y357" s="71"/>
      <c r="Z357" s="71"/>
      <c r="AA357" s="71"/>
      <c r="AB357" s="71"/>
      <c r="AC357" s="71"/>
    </row>
    <row r="358" spans="1:29" s="73" customFormat="1" ht="22.9" customHeight="1">
      <c r="A358" s="300">
        <v>273</v>
      </c>
      <c r="B358" s="300">
        <v>23</v>
      </c>
      <c r="C358" s="301" t="s">
        <v>769</v>
      </c>
      <c r="D358" s="300" t="s">
        <v>734</v>
      </c>
      <c r="E358" s="300" t="s">
        <v>47</v>
      </c>
      <c r="F358" s="300">
        <v>20</v>
      </c>
      <c r="G358" s="401">
        <v>5000000</v>
      </c>
      <c r="H358" s="304">
        <f t="shared" si="29"/>
        <v>100000000</v>
      </c>
      <c r="I358" s="287">
        <v>20</v>
      </c>
      <c r="J358" s="164">
        <v>5250000</v>
      </c>
      <c r="K358" s="164">
        <f t="shared" si="30"/>
        <v>105000000</v>
      </c>
      <c r="L358" s="288">
        <f t="shared" si="28"/>
        <v>250000</v>
      </c>
      <c r="M358" s="302" t="s">
        <v>718</v>
      </c>
      <c r="N358" s="302" t="s">
        <v>770</v>
      </c>
      <c r="O358" s="402" t="s">
        <v>727</v>
      </c>
      <c r="P358" s="403" t="s">
        <v>721</v>
      </c>
      <c r="Q358" s="115"/>
      <c r="R358" s="1024"/>
      <c r="S358" s="75"/>
      <c r="T358" s="71"/>
      <c r="U358" s="71"/>
      <c r="V358" s="71"/>
      <c r="W358" s="71"/>
      <c r="X358" s="71"/>
      <c r="Y358" s="71"/>
      <c r="Z358" s="71"/>
      <c r="AA358" s="71"/>
      <c r="AB358" s="71"/>
      <c r="AC358" s="71"/>
    </row>
    <row r="359" spans="1:29" s="73" customFormat="1" ht="22.9" customHeight="1">
      <c r="A359" s="300">
        <v>274</v>
      </c>
      <c r="B359" s="300">
        <v>24</v>
      </c>
      <c r="C359" s="301" t="s">
        <v>771</v>
      </c>
      <c r="D359" s="300" t="s">
        <v>734</v>
      </c>
      <c r="E359" s="300" t="s">
        <v>47</v>
      </c>
      <c r="F359" s="300">
        <v>25</v>
      </c>
      <c r="G359" s="401">
        <v>5000000</v>
      </c>
      <c r="H359" s="304">
        <f t="shared" si="29"/>
        <v>125000000</v>
      </c>
      <c r="I359" s="287">
        <v>25</v>
      </c>
      <c r="J359" s="164">
        <v>5250000</v>
      </c>
      <c r="K359" s="164">
        <f t="shared" si="30"/>
        <v>131250000</v>
      </c>
      <c r="L359" s="288">
        <f t="shared" si="28"/>
        <v>250000</v>
      </c>
      <c r="M359" s="302" t="s">
        <v>718</v>
      </c>
      <c r="N359" s="302" t="s">
        <v>772</v>
      </c>
      <c r="O359" s="402" t="s">
        <v>727</v>
      </c>
      <c r="P359" s="403" t="s">
        <v>721</v>
      </c>
      <c r="Q359" s="115"/>
      <c r="R359" s="1024"/>
      <c r="S359" s="75"/>
      <c r="T359" s="71"/>
      <c r="U359" s="71"/>
      <c r="V359" s="71"/>
      <c r="W359" s="71"/>
      <c r="X359" s="71"/>
      <c r="Y359" s="71"/>
      <c r="Z359" s="71"/>
      <c r="AA359" s="71"/>
      <c r="AB359" s="71"/>
      <c r="AC359" s="71"/>
    </row>
    <row r="360" spans="1:29" s="73" customFormat="1" ht="22.9" customHeight="1">
      <c r="A360" s="300">
        <v>275</v>
      </c>
      <c r="B360" s="300">
        <v>25</v>
      </c>
      <c r="C360" s="301" t="s">
        <v>773</v>
      </c>
      <c r="D360" s="300" t="s">
        <v>734</v>
      </c>
      <c r="E360" s="300" t="s">
        <v>47</v>
      </c>
      <c r="F360" s="300">
        <v>20</v>
      </c>
      <c r="G360" s="401">
        <v>7000000</v>
      </c>
      <c r="H360" s="304">
        <f t="shared" si="29"/>
        <v>140000000</v>
      </c>
      <c r="I360" s="287">
        <v>20</v>
      </c>
      <c r="J360" s="164">
        <v>7350000</v>
      </c>
      <c r="K360" s="164">
        <f t="shared" si="30"/>
        <v>147000000</v>
      </c>
      <c r="L360" s="288">
        <f t="shared" si="28"/>
        <v>350000</v>
      </c>
      <c r="M360" s="302" t="s">
        <v>718</v>
      </c>
      <c r="N360" s="302" t="s">
        <v>774</v>
      </c>
      <c r="O360" s="402" t="s">
        <v>727</v>
      </c>
      <c r="P360" s="403" t="s">
        <v>721</v>
      </c>
      <c r="Q360" s="115"/>
      <c r="R360" s="1024"/>
      <c r="S360" s="75"/>
      <c r="T360" s="71"/>
      <c r="U360" s="71"/>
      <c r="V360" s="71"/>
      <c r="W360" s="71"/>
      <c r="X360" s="71"/>
      <c r="Y360" s="71"/>
      <c r="Z360" s="71"/>
      <c r="AA360" s="71"/>
      <c r="AB360" s="71"/>
      <c r="AC360" s="71"/>
    </row>
    <row r="361" spans="1:29" s="73" customFormat="1" ht="22.9" customHeight="1">
      <c r="A361" s="300">
        <v>276</v>
      </c>
      <c r="B361" s="300">
        <v>26</v>
      </c>
      <c r="C361" s="301" t="s">
        <v>775</v>
      </c>
      <c r="D361" s="300" t="s">
        <v>734</v>
      </c>
      <c r="E361" s="300" t="s">
        <v>47</v>
      </c>
      <c r="F361" s="300">
        <v>5</v>
      </c>
      <c r="G361" s="401">
        <v>5000000</v>
      </c>
      <c r="H361" s="304">
        <f t="shared" si="29"/>
        <v>25000000</v>
      </c>
      <c r="I361" s="287">
        <v>5</v>
      </c>
      <c r="J361" s="164">
        <v>5250000</v>
      </c>
      <c r="K361" s="164">
        <f t="shared" si="30"/>
        <v>26250000</v>
      </c>
      <c r="L361" s="288">
        <f t="shared" si="28"/>
        <v>250000</v>
      </c>
      <c r="M361" s="302" t="s">
        <v>718</v>
      </c>
      <c r="N361" s="302" t="s">
        <v>776</v>
      </c>
      <c r="O361" s="402" t="s">
        <v>727</v>
      </c>
      <c r="P361" s="403" t="s">
        <v>721</v>
      </c>
      <c r="Q361" s="115"/>
      <c r="R361" s="1024"/>
      <c r="S361" s="75"/>
      <c r="T361" s="71"/>
      <c r="U361" s="71"/>
      <c r="V361" s="71"/>
      <c r="W361" s="71"/>
      <c r="X361" s="71"/>
      <c r="Y361" s="71"/>
      <c r="Z361" s="71"/>
      <c r="AA361" s="71"/>
      <c r="AB361" s="71"/>
      <c r="AC361" s="71"/>
    </row>
    <row r="362" spans="1:29" s="73" customFormat="1" ht="22.9" customHeight="1">
      <c r="A362" s="300">
        <v>277</v>
      </c>
      <c r="B362" s="300">
        <v>27</v>
      </c>
      <c r="C362" s="301" t="s">
        <v>777</v>
      </c>
      <c r="D362" s="300" t="s">
        <v>734</v>
      </c>
      <c r="E362" s="300" t="s">
        <v>47</v>
      </c>
      <c r="F362" s="300">
        <v>20</v>
      </c>
      <c r="G362" s="401">
        <v>5000000</v>
      </c>
      <c r="H362" s="304">
        <f t="shared" si="29"/>
        <v>100000000</v>
      </c>
      <c r="I362" s="287">
        <v>20</v>
      </c>
      <c r="J362" s="164">
        <v>5250000</v>
      </c>
      <c r="K362" s="164">
        <f t="shared" si="30"/>
        <v>105000000</v>
      </c>
      <c r="L362" s="288">
        <f t="shared" si="28"/>
        <v>250000</v>
      </c>
      <c r="M362" s="302" t="s">
        <v>718</v>
      </c>
      <c r="N362" s="302" t="s">
        <v>778</v>
      </c>
      <c r="O362" s="402" t="s">
        <v>727</v>
      </c>
      <c r="P362" s="403" t="s">
        <v>721</v>
      </c>
      <c r="Q362" s="115"/>
      <c r="R362" s="1024"/>
      <c r="S362" s="75"/>
      <c r="T362" s="71"/>
      <c r="U362" s="71"/>
      <c r="V362" s="71"/>
      <c r="W362" s="71"/>
      <c r="X362" s="71"/>
      <c r="Y362" s="71"/>
      <c r="Z362" s="71"/>
      <c r="AA362" s="71"/>
      <c r="AB362" s="71"/>
      <c r="AC362" s="71"/>
    </row>
    <row r="363" spans="1:29" s="73" customFormat="1" ht="22.9" customHeight="1">
      <c r="A363" s="300">
        <v>278</v>
      </c>
      <c r="B363" s="300">
        <v>28</v>
      </c>
      <c r="C363" s="301" t="s">
        <v>779</v>
      </c>
      <c r="D363" s="300" t="s">
        <v>734</v>
      </c>
      <c r="E363" s="300" t="s">
        <v>47</v>
      </c>
      <c r="F363" s="300">
        <v>20</v>
      </c>
      <c r="G363" s="401">
        <v>5000000</v>
      </c>
      <c r="H363" s="304">
        <f t="shared" si="29"/>
        <v>100000000</v>
      </c>
      <c r="I363" s="287">
        <v>20</v>
      </c>
      <c r="J363" s="164">
        <v>5250000</v>
      </c>
      <c r="K363" s="164">
        <f t="shared" si="30"/>
        <v>105000000</v>
      </c>
      <c r="L363" s="288">
        <f t="shared" si="28"/>
        <v>250000</v>
      </c>
      <c r="M363" s="302" t="s">
        <v>718</v>
      </c>
      <c r="N363" s="302" t="s">
        <v>780</v>
      </c>
      <c r="O363" s="402" t="s">
        <v>727</v>
      </c>
      <c r="P363" s="403" t="s">
        <v>721</v>
      </c>
      <c r="Q363" s="115"/>
      <c r="R363" s="1024"/>
      <c r="S363" s="75"/>
      <c r="T363" s="71"/>
      <c r="U363" s="71"/>
      <c r="V363" s="71"/>
      <c r="W363" s="71"/>
      <c r="X363" s="71"/>
      <c r="Y363" s="71"/>
      <c r="Z363" s="71"/>
      <c r="AA363" s="71"/>
      <c r="AB363" s="71"/>
      <c r="AC363" s="71"/>
    </row>
    <row r="364" spans="1:29" s="73" customFormat="1" ht="22.9" customHeight="1">
      <c r="A364" s="300">
        <v>279</v>
      </c>
      <c r="B364" s="300">
        <v>29</v>
      </c>
      <c r="C364" s="301" t="s">
        <v>781</v>
      </c>
      <c r="D364" s="300" t="s">
        <v>734</v>
      </c>
      <c r="E364" s="300" t="s">
        <v>47</v>
      </c>
      <c r="F364" s="300">
        <v>20</v>
      </c>
      <c r="G364" s="401">
        <v>7000000</v>
      </c>
      <c r="H364" s="304">
        <f t="shared" si="29"/>
        <v>140000000</v>
      </c>
      <c r="I364" s="287">
        <v>20</v>
      </c>
      <c r="J364" s="164">
        <v>7350000</v>
      </c>
      <c r="K364" s="164">
        <f t="shared" si="30"/>
        <v>147000000</v>
      </c>
      <c r="L364" s="288">
        <f t="shared" si="28"/>
        <v>350000</v>
      </c>
      <c r="M364" s="302" t="s">
        <v>718</v>
      </c>
      <c r="N364" s="302" t="s">
        <v>782</v>
      </c>
      <c r="O364" s="402" t="s">
        <v>727</v>
      </c>
      <c r="P364" s="403" t="s">
        <v>721</v>
      </c>
      <c r="Q364" s="115"/>
      <c r="R364" s="1024"/>
      <c r="S364" s="75"/>
      <c r="T364" s="71"/>
      <c r="U364" s="71"/>
      <c r="V364" s="71"/>
      <c r="W364" s="71"/>
      <c r="X364" s="71"/>
      <c r="Y364" s="71"/>
      <c r="Z364" s="71"/>
      <c r="AA364" s="71"/>
      <c r="AB364" s="71"/>
      <c r="AC364" s="71"/>
    </row>
    <row r="365" spans="1:29" s="73" customFormat="1" ht="22.9" customHeight="1">
      <c r="A365" s="300">
        <v>280</v>
      </c>
      <c r="B365" s="300">
        <v>30</v>
      </c>
      <c r="C365" s="301" t="s">
        <v>783</v>
      </c>
      <c r="D365" s="300" t="s">
        <v>734</v>
      </c>
      <c r="E365" s="300" t="s">
        <v>47</v>
      </c>
      <c r="F365" s="300">
        <v>30</v>
      </c>
      <c r="G365" s="401">
        <v>7000000</v>
      </c>
      <c r="H365" s="304">
        <f t="shared" si="29"/>
        <v>210000000</v>
      </c>
      <c r="I365" s="287">
        <v>30</v>
      </c>
      <c r="J365" s="164">
        <v>7350000</v>
      </c>
      <c r="K365" s="164">
        <f t="shared" si="30"/>
        <v>220500000</v>
      </c>
      <c r="L365" s="288">
        <f t="shared" si="28"/>
        <v>350000</v>
      </c>
      <c r="M365" s="302" t="s">
        <v>718</v>
      </c>
      <c r="N365" s="302" t="s">
        <v>784</v>
      </c>
      <c r="O365" s="402" t="s">
        <v>727</v>
      </c>
      <c r="P365" s="403" t="s">
        <v>721</v>
      </c>
      <c r="Q365" s="115"/>
      <c r="R365" s="1024"/>
      <c r="S365" s="75"/>
      <c r="T365" s="71"/>
      <c r="U365" s="71"/>
      <c r="V365" s="71"/>
      <c r="W365" s="71"/>
      <c r="X365" s="71"/>
      <c r="Y365" s="71"/>
      <c r="Z365" s="71"/>
      <c r="AA365" s="71"/>
      <c r="AB365" s="71"/>
      <c r="AC365" s="71"/>
    </row>
    <row r="366" spans="1:29" s="73" customFormat="1" ht="22.9" customHeight="1">
      <c r="A366" s="300">
        <v>281</v>
      </c>
      <c r="B366" s="300">
        <v>31</v>
      </c>
      <c r="C366" s="301" t="s">
        <v>785</v>
      </c>
      <c r="D366" s="300" t="s">
        <v>734</v>
      </c>
      <c r="E366" s="300" t="s">
        <v>47</v>
      </c>
      <c r="F366" s="300">
        <v>5</v>
      </c>
      <c r="G366" s="401">
        <v>5000000</v>
      </c>
      <c r="H366" s="304">
        <f t="shared" si="29"/>
        <v>25000000</v>
      </c>
      <c r="I366" s="287">
        <v>5</v>
      </c>
      <c r="J366" s="164">
        <v>5250000</v>
      </c>
      <c r="K366" s="164">
        <f t="shared" si="30"/>
        <v>26250000</v>
      </c>
      <c r="L366" s="288">
        <f t="shared" si="28"/>
        <v>250000</v>
      </c>
      <c r="M366" s="302" t="s">
        <v>718</v>
      </c>
      <c r="N366" s="302" t="s">
        <v>786</v>
      </c>
      <c r="O366" s="402" t="s">
        <v>727</v>
      </c>
      <c r="P366" s="403" t="s">
        <v>721</v>
      </c>
      <c r="Q366" s="115"/>
      <c r="R366" s="1024"/>
      <c r="S366" s="75"/>
      <c r="T366" s="71"/>
      <c r="U366" s="71"/>
      <c r="V366" s="71"/>
      <c r="W366" s="71"/>
      <c r="X366" s="71"/>
      <c r="Y366" s="71"/>
      <c r="Z366" s="71"/>
      <c r="AA366" s="71"/>
      <c r="AB366" s="71"/>
      <c r="AC366" s="71"/>
    </row>
    <row r="367" spans="1:29" s="73" customFormat="1" ht="22.9" customHeight="1">
      <c r="A367" s="300">
        <v>282</v>
      </c>
      <c r="B367" s="300">
        <v>32</v>
      </c>
      <c r="C367" s="301" t="s">
        <v>787</v>
      </c>
      <c r="D367" s="300" t="s">
        <v>734</v>
      </c>
      <c r="E367" s="300" t="s">
        <v>47</v>
      </c>
      <c r="F367" s="300">
        <v>10</v>
      </c>
      <c r="G367" s="401">
        <v>5000000</v>
      </c>
      <c r="H367" s="304">
        <f t="shared" si="29"/>
        <v>50000000</v>
      </c>
      <c r="I367" s="287">
        <v>10</v>
      </c>
      <c r="J367" s="164">
        <v>5250000</v>
      </c>
      <c r="K367" s="164">
        <f t="shared" si="30"/>
        <v>52500000</v>
      </c>
      <c r="L367" s="288">
        <f t="shared" si="28"/>
        <v>250000</v>
      </c>
      <c r="M367" s="302" t="s">
        <v>718</v>
      </c>
      <c r="N367" s="302" t="s">
        <v>788</v>
      </c>
      <c r="O367" s="402" t="s">
        <v>727</v>
      </c>
      <c r="P367" s="403" t="s">
        <v>721</v>
      </c>
      <c r="Q367" s="115"/>
      <c r="R367" s="1024"/>
      <c r="S367" s="75"/>
      <c r="T367" s="71"/>
      <c r="U367" s="71"/>
      <c r="V367" s="71"/>
      <c r="W367" s="71"/>
      <c r="X367" s="71"/>
      <c r="Y367" s="71"/>
      <c r="Z367" s="71"/>
      <c r="AA367" s="71"/>
      <c r="AB367" s="71"/>
      <c r="AC367" s="71"/>
    </row>
    <row r="368" spans="1:29" s="73" customFormat="1" ht="22.9" customHeight="1">
      <c r="A368" s="300">
        <v>283</v>
      </c>
      <c r="B368" s="300">
        <v>33</v>
      </c>
      <c r="C368" s="301" t="s">
        <v>789</v>
      </c>
      <c r="D368" s="300" t="s">
        <v>734</v>
      </c>
      <c r="E368" s="300" t="s">
        <v>47</v>
      </c>
      <c r="F368" s="300">
        <v>500</v>
      </c>
      <c r="G368" s="401">
        <v>350000</v>
      </c>
      <c r="H368" s="304">
        <f t="shared" si="29"/>
        <v>175000000</v>
      </c>
      <c r="I368" s="287">
        <v>500</v>
      </c>
      <c r="J368" s="164">
        <v>365000</v>
      </c>
      <c r="K368" s="164">
        <f t="shared" si="30"/>
        <v>182500000</v>
      </c>
      <c r="L368" s="288">
        <f t="shared" si="28"/>
        <v>15000</v>
      </c>
      <c r="M368" s="302" t="s">
        <v>718</v>
      </c>
      <c r="N368" s="302" t="s">
        <v>790</v>
      </c>
      <c r="O368" s="402" t="s">
        <v>727</v>
      </c>
      <c r="P368" s="403" t="s">
        <v>721</v>
      </c>
      <c r="Q368" s="115"/>
      <c r="R368" s="1024"/>
      <c r="S368" s="75"/>
      <c r="T368" s="71"/>
      <c r="U368" s="71"/>
      <c r="V368" s="71"/>
      <c r="W368" s="71"/>
      <c r="X368" s="71"/>
      <c r="Y368" s="71"/>
      <c r="Z368" s="71"/>
      <c r="AA368" s="71"/>
      <c r="AB368" s="71"/>
      <c r="AC368" s="71"/>
    </row>
    <row r="369" spans="1:31" s="73" customFormat="1" ht="22.9" customHeight="1">
      <c r="A369" s="300">
        <v>284</v>
      </c>
      <c r="B369" s="300">
        <v>34</v>
      </c>
      <c r="C369" s="301" t="s">
        <v>791</v>
      </c>
      <c r="D369" s="300" t="s">
        <v>734</v>
      </c>
      <c r="E369" s="300" t="s">
        <v>47</v>
      </c>
      <c r="F369" s="300">
        <v>700</v>
      </c>
      <c r="G369" s="401">
        <v>470000</v>
      </c>
      <c r="H369" s="304">
        <f t="shared" si="29"/>
        <v>329000000</v>
      </c>
      <c r="I369" s="287">
        <v>700</v>
      </c>
      <c r="J369" s="164">
        <v>490000</v>
      </c>
      <c r="K369" s="164">
        <f t="shared" si="30"/>
        <v>343000000</v>
      </c>
      <c r="L369" s="288">
        <f t="shared" si="28"/>
        <v>20000</v>
      </c>
      <c r="M369" s="302" t="s">
        <v>718</v>
      </c>
      <c r="N369" s="302" t="s">
        <v>792</v>
      </c>
      <c r="O369" s="402" t="s">
        <v>727</v>
      </c>
      <c r="P369" s="403" t="s">
        <v>721</v>
      </c>
      <c r="Q369" s="115"/>
      <c r="R369" s="1024"/>
      <c r="S369" s="75"/>
      <c r="T369" s="71"/>
      <c r="U369" s="71"/>
      <c r="V369" s="71"/>
      <c r="W369" s="71"/>
      <c r="X369" s="71"/>
      <c r="Y369" s="71"/>
      <c r="Z369" s="71"/>
      <c r="AA369" s="71"/>
      <c r="AB369" s="71"/>
      <c r="AC369" s="71"/>
    </row>
    <row r="370" spans="1:31" s="73" customFormat="1" ht="22.9" customHeight="1">
      <c r="A370" s="300">
        <v>285</v>
      </c>
      <c r="B370" s="300">
        <v>35</v>
      </c>
      <c r="C370" s="301" t="s">
        <v>793</v>
      </c>
      <c r="D370" s="300" t="s">
        <v>734</v>
      </c>
      <c r="E370" s="300" t="s">
        <v>47</v>
      </c>
      <c r="F370" s="300">
        <v>10</v>
      </c>
      <c r="G370" s="401">
        <v>200000</v>
      </c>
      <c r="H370" s="304">
        <f t="shared" si="29"/>
        <v>2000000</v>
      </c>
      <c r="I370" s="287">
        <v>10</v>
      </c>
      <c r="J370" s="164">
        <v>210000</v>
      </c>
      <c r="K370" s="164">
        <f t="shared" si="30"/>
        <v>2100000</v>
      </c>
      <c r="L370" s="288">
        <f t="shared" si="28"/>
        <v>10000</v>
      </c>
      <c r="M370" s="302" t="s">
        <v>718</v>
      </c>
      <c r="N370" s="302" t="s">
        <v>794</v>
      </c>
      <c r="O370" s="402" t="s">
        <v>727</v>
      </c>
      <c r="P370" s="403" t="s">
        <v>721</v>
      </c>
      <c r="Q370" s="115"/>
      <c r="R370" s="1024"/>
      <c r="S370" s="75"/>
      <c r="T370" s="71"/>
      <c r="U370" s="71"/>
      <c r="V370" s="71"/>
      <c r="W370" s="71"/>
      <c r="X370" s="71"/>
      <c r="Y370" s="71"/>
      <c r="Z370" s="71"/>
      <c r="AA370" s="71"/>
      <c r="AB370" s="71"/>
      <c r="AC370" s="71"/>
    </row>
    <row r="371" spans="1:31" s="73" customFormat="1" ht="22.9" customHeight="1">
      <c r="A371" s="300">
        <v>286</v>
      </c>
      <c r="B371" s="300">
        <v>36</v>
      </c>
      <c r="C371" s="301" t="s">
        <v>795</v>
      </c>
      <c r="D371" s="300" t="s">
        <v>734</v>
      </c>
      <c r="E371" s="300" t="s">
        <v>47</v>
      </c>
      <c r="F371" s="300">
        <v>10</v>
      </c>
      <c r="G371" s="401">
        <v>200000</v>
      </c>
      <c r="H371" s="304">
        <f t="shared" si="29"/>
        <v>2000000</v>
      </c>
      <c r="I371" s="287">
        <v>10</v>
      </c>
      <c r="J371" s="164">
        <v>210000</v>
      </c>
      <c r="K371" s="164">
        <f t="shared" si="30"/>
        <v>2100000</v>
      </c>
      <c r="L371" s="288">
        <f t="shared" si="28"/>
        <v>10000</v>
      </c>
      <c r="M371" s="302" t="s">
        <v>718</v>
      </c>
      <c r="N371" s="302" t="s">
        <v>794</v>
      </c>
      <c r="O371" s="402" t="s">
        <v>727</v>
      </c>
      <c r="P371" s="403" t="s">
        <v>721</v>
      </c>
      <c r="Q371" s="115"/>
      <c r="R371" s="1024"/>
      <c r="S371" s="75"/>
      <c r="T371" s="71"/>
      <c r="U371" s="71"/>
      <c r="V371" s="71"/>
      <c r="W371" s="71"/>
      <c r="X371" s="71"/>
      <c r="Y371" s="71"/>
      <c r="Z371" s="71"/>
      <c r="AA371" s="71"/>
      <c r="AB371" s="71"/>
      <c r="AC371" s="71"/>
    </row>
    <row r="372" spans="1:31" s="73" customFormat="1" ht="22.9" customHeight="1">
      <c r="A372" s="300">
        <v>287</v>
      </c>
      <c r="B372" s="300">
        <v>37</v>
      </c>
      <c r="C372" s="405" t="s">
        <v>796</v>
      </c>
      <c r="D372" s="304" t="s">
        <v>797</v>
      </c>
      <c r="E372" s="300" t="s">
        <v>47</v>
      </c>
      <c r="F372" s="300">
        <v>700</v>
      </c>
      <c r="G372" s="408">
        <v>55000</v>
      </c>
      <c r="H372" s="304">
        <f t="shared" si="29"/>
        <v>38500000</v>
      </c>
      <c r="I372" s="287">
        <v>700</v>
      </c>
      <c r="J372" s="164">
        <v>57000</v>
      </c>
      <c r="K372" s="164">
        <f t="shared" si="30"/>
        <v>39900000</v>
      </c>
      <c r="L372" s="288">
        <f t="shared" si="28"/>
        <v>2000</v>
      </c>
      <c r="M372" s="290" t="s">
        <v>798</v>
      </c>
      <c r="N372" s="302">
        <v>523860</v>
      </c>
      <c r="O372" s="409" t="s">
        <v>720</v>
      </c>
      <c r="P372" s="403" t="s">
        <v>721</v>
      </c>
      <c r="Q372" s="115"/>
      <c r="R372" s="1024"/>
      <c r="S372" s="75"/>
      <c r="T372" s="71"/>
      <c r="U372" s="71"/>
      <c r="V372" s="71"/>
      <c r="W372" s="71"/>
      <c r="X372" s="71"/>
      <c r="Y372" s="71"/>
      <c r="Z372" s="71"/>
      <c r="AA372" s="71"/>
      <c r="AB372" s="71"/>
      <c r="AC372" s="71"/>
    </row>
    <row r="373" spans="1:31" s="73" customFormat="1" ht="22.9" customHeight="1">
      <c r="A373" s="300">
        <v>288</v>
      </c>
      <c r="B373" s="300">
        <v>38</v>
      </c>
      <c r="C373" s="405" t="s">
        <v>799</v>
      </c>
      <c r="D373" s="304" t="s">
        <v>800</v>
      </c>
      <c r="E373" s="300" t="s">
        <v>47</v>
      </c>
      <c r="F373" s="300">
        <v>3000</v>
      </c>
      <c r="G373" s="408">
        <v>95000</v>
      </c>
      <c r="H373" s="304">
        <f t="shared" si="29"/>
        <v>285000000</v>
      </c>
      <c r="I373" s="287">
        <v>3000</v>
      </c>
      <c r="J373" s="164">
        <v>99000</v>
      </c>
      <c r="K373" s="164">
        <f t="shared" si="30"/>
        <v>297000000</v>
      </c>
      <c r="L373" s="288">
        <f t="shared" si="28"/>
        <v>4000</v>
      </c>
      <c r="M373" s="290" t="s">
        <v>798</v>
      </c>
      <c r="N373" s="302" t="s">
        <v>801</v>
      </c>
      <c r="O373" s="409" t="s">
        <v>720</v>
      </c>
      <c r="P373" s="403" t="s">
        <v>721</v>
      </c>
      <c r="Q373" s="115"/>
      <c r="R373" s="1024"/>
      <c r="S373" s="75"/>
      <c r="T373" s="71"/>
      <c r="U373" s="71"/>
      <c r="V373" s="71"/>
      <c r="W373" s="71"/>
      <c r="X373" s="71"/>
      <c r="Y373" s="71"/>
      <c r="Z373" s="71"/>
      <c r="AA373" s="71"/>
      <c r="AB373" s="71"/>
      <c r="AC373" s="71"/>
    </row>
    <row r="374" spans="1:31" s="73" customFormat="1" ht="22.9" customHeight="1">
      <c r="A374" s="410">
        <v>289</v>
      </c>
      <c r="B374" s="410">
        <v>39</v>
      </c>
      <c r="C374" s="411" t="s">
        <v>802</v>
      </c>
      <c r="D374" s="410" t="s">
        <v>725</v>
      </c>
      <c r="E374" s="410" t="s">
        <v>47</v>
      </c>
      <c r="F374" s="410">
        <v>20</v>
      </c>
      <c r="G374" s="412">
        <v>6000000</v>
      </c>
      <c r="H374" s="413">
        <f t="shared" si="29"/>
        <v>120000000</v>
      </c>
      <c r="I374" s="414">
        <v>20</v>
      </c>
      <c r="J374" s="415">
        <v>6500000</v>
      </c>
      <c r="K374" s="416">
        <f t="shared" si="30"/>
        <v>130000000</v>
      </c>
      <c r="L374" s="417">
        <f t="shared" si="28"/>
        <v>500000</v>
      </c>
      <c r="M374" s="410" t="s">
        <v>803</v>
      </c>
      <c r="N374" s="418" t="s">
        <v>804</v>
      </c>
      <c r="O374" s="419" t="s">
        <v>727</v>
      </c>
      <c r="P374" s="420" t="s">
        <v>721</v>
      </c>
      <c r="Q374" s="115"/>
      <c r="R374" s="1024"/>
      <c r="S374" s="75"/>
      <c r="T374" s="71"/>
      <c r="U374" s="71"/>
      <c r="V374" s="71"/>
      <c r="W374" s="71"/>
      <c r="X374" s="71"/>
      <c r="Y374" s="71"/>
      <c r="Z374" s="71"/>
      <c r="AA374" s="71"/>
      <c r="AB374" s="71"/>
      <c r="AC374" s="71"/>
    </row>
    <row r="375" spans="1:31" ht="16.899999999999999" customHeight="1">
      <c r="A375" s="2115" t="s">
        <v>805</v>
      </c>
      <c r="B375" s="2116"/>
      <c r="C375" s="2116"/>
      <c r="D375" s="2116"/>
      <c r="E375" s="2116"/>
      <c r="F375" s="2116"/>
      <c r="G375" s="2116"/>
      <c r="H375" s="2289">
        <f>SUM(H336:H374)</f>
        <v>3408900000</v>
      </c>
      <c r="I375" s="421"/>
      <c r="J375" s="421"/>
      <c r="K375" s="421">
        <f>SUM(K336:K374)</f>
        <v>3574601000</v>
      </c>
      <c r="L375" s="421"/>
      <c r="M375" s="422"/>
      <c r="N375" s="423"/>
      <c r="O375" s="422"/>
      <c r="P375" s="142"/>
      <c r="Q375" s="115"/>
    </row>
    <row r="376" spans="1:31" ht="16.899999999999999" customHeight="1" thickBot="1">
      <c r="A376" s="2117" t="s">
        <v>806</v>
      </c>
      <c r="B376" s="2118"/>
      <c r="C376" s="2118"/>
      <c r="D376" s="2118"/>
      <c r="E376" s="2118"/>
      <c r="F376" s="2118"/>
      <c r="G376" s="2118"/>
      <c r="H376" s="2119"/>
      <c r="I376" s="424"/>
      <c r="J376" s="424"/>
      <c r="K376" s="424"/>
      <c r="L376" s="424"/>
      <c r="M376" s="425"/>
      <c r="N376" s="426"/>
      <c r="O376" s="426"/>
      <c r="P376" s="427"/>
      <c r="Q376" s="428"/>
    </row>
    <row r="377" spans="1:31" ht="16.899999999999999" customHeight="1" thickTop="1">
      <c r="A377" s="429"/>
      <c r="B377" s="429"/>
      <c r="C377" s="429"/>
      <c r="D377" s="429"/>
      <c r="E377" s="429"/>
      <c r="F377" s="429"/>
      <c r="G377" s="429"/>
      <c r="H377" s="429"/>
      <c r="I377" s="429"/>
      <c r="J377" s="429"/>
      <c r="K377" s="429"/>
      <c r="L377" s="429"/>
      <c r="M377" s="430"/>
      <c r="N377" s="431"/>
      <c r="O377" s="431"/>
      <c r="P377" s="428"/>
      <c r="Q377" s="428"/>
    </row>
    <row r="378" spans="1:31" ht="16.899999999999999" customHeight="1">
      <c r="A378" s="429"/>
      <c r="B378" s="429"/>
      <c r="C378" s="429"/>
      <c r="D378" s="429"/>
      <c r="E378" s="429"/>
      <c r="F378" s="429"/>
      <c r="G378" s="429"/>
      <c r="H378" s="429"/>
      <c r="I378" s="429"/>
      <c r="J378" s="429"/>
      <c r="K378" s="429"/>
      <c r="L378" s="429"/>
      <c r="M378" s="430"/>
      <c r="N378" s="431"/>
      <c r="O378" s="431"/>
      <c r="P378" s="428"/>
      <c r="Q378" s="428"/>
    </row>
    <row r="379" spans="1:31" ht="20.45" customHeight="1">
      <c r="A379" s="429"/>
      <c r="B379" s="429"/>
      <c r="C379" s="429"/>
      <c r="D379" s="429"/>
      <c r="E379" s="429"/>
      <c r="F379" s="429"/>
      <c r="G379" s="429"/>
      <c r="H379" s="429"/>
      <c r="I379" s="429"/>
      <c r="J379" s="429"/>
      <c r="K379" s="429"/>
      <c r="L379" s="429"/>
      <c r="M379" s="430"/>
      <c r="N379" s="431"/>
      <c r="O379" s="431"/>
      <c r="P379" s="428"/>
      <c r="Q379" s="428"/>
    </row>
    <row r="380" spans="1:31" ht="20.45" customHeight="1">
      <c r="A380" s="429"/>
      <c r="B380" s="429"/>
      <c r="C380" s="429"/>
      <c r="D380" s="429"/>
      <c r="E380" s="429"/>
      <c r="F380" s="429"/>
      <c r="G380" s="429"/>
      <c r="H380" s="429"/>
      <c r="I380" s="429"/>
      <c r="J380" s="429"/>
      <c r="K380" s="429"/>
      <c r="L380" s="429"/>
      <c r="M380" s="430"/>
      <c r="N380" s="431"/>
      <c r="O380" s="431"/>
      <c r="P380" s="428"/>
      <c r="Q380" s="428"/>
    </row>
    <row r="381" spans="1:31" ht="20.45" customHeight="1">
      <c r="A381" s="429"/>
      <c r="B381" s="429"/>
      <c r="C381" s="432"/>
      <c r="D381" s="429"/>
      <c r="E381" s="429"/>
      <c r="F381" s="429"/>
      <c r="G381" s="429"/>
      <c r="H381" s="429"/>
      <c r="I381" s="429"/>
      <c r="J381" s="429"/>
      <c r="K381" s="429"/>
      <c r="L381" s="429"/>
      <c r="M381" s="430"/>
      <c r="N381" s="431"/>
      <c r="O381" s="431"/>
      <c r="P381" s="428"/>
      <c r="Q381" s="428"/>
    </row>
    <row r="383" spans="1:31">
      <c r="A383" s="71" t="s">
        <v>807</v>
      </c>
    </row>
    <row r="384" spans="1:31" s="12" customFormat="1" ht="14.45" customHeight="1">
      <c r="A384" s="2092" t="s">
        <v>5</v>
      </c>
      <c r="B384" s="2092" t="s">
        <v>6</v>
      </c>
      <c r="C384" s="2094" t="s">
        <v>7</v>
      </c>
      <c r="D384" s="2096" t="s">
        <v>8</v>
      </c>
      <c r="E384" s="2092" t="s">
        <v>9</v>
      </c>
      <c r="F384" s="2098" t="s">
        <v>10</v>
      </c>
      <c r="G384" s="2098"/>
      <c r="H384" s="2098"/>
      <c r="I384" s="2098" t="s">
        <v>11</v>
      </c>
      <c r="J384" s="2098"/>
      <c r="K384" s="2098"/>
      <c r="L384" s="2099" t="s">
        <v>12</v>
      </c>
      <c r="M384" s="9"/>
      <c r="N384" s="9"/>
      <c r="O384" s="9"/>
      <c r="P384" s="2101" t="s">
        <v>13</v>
      </c>
      <c r="Q384" s="2265" t="s">
        <v>4740</v>
      </c>
      <c r="R384" s="2319" t="s">
        <v>4754</v>
      </c>
      <c r="S384" s="2267" t="s">
        <v>4767</v>
      </c>
      <c r="T384" s="2268"/>
      <c r="U384" s="2268"/>
      <c r="V384" s="2268"/>
      <c r="W384" s="2269"/>
      <c r="X384" s="2267" t="s">
        <v>4768</v>
      </c>
      <c r="Y384" s="2268"/>
      <c r="Z384" s="2268"/>
      <c r="AA384" s="2268"/>
      <c r="AB384" s="2268"/>
      <c r="AC384" s="2268"/>
      <c r="AD384" s="2268"/>
      <c r="AE384" s="2269"/>
    </row>
    <row r="385" spans="1:31" s="16" customFormat="1" ht="27">
      <c r="A385" s="2093"/>
      <c r="B385" s="2093"/>
      <c r="C385" s="2095"/>
      <c r="D385" s="2097"/>
      <c r="E385" s="2093"/>
      <c r="F385" s="13" t="s">
        <v>14</v>
      </c>
      <c r="G385" s="13" t="s">
        <v>15</v>
      </c>
      <c r="H385" s="13" t="s">
        <v>16</v>
      </c>
      <c r="I385" s="13" t="s">
        <v>14</v>
      </c>
      <c r="J385" s="13" t="s">
        <v>15</v>
      </c>
      <c r="K385" s="13" t="s">
        <v>16</v>
      </c>
      <c r="L385" s="2100"/>
      <c r="M385" s="14" t="s">
        <v>17</v>
      </c>
      <c r="N385" s="14" t="s">
        <v>18</v>
      </c>
      <c r="O385" s="14" t="s">
        <v>19</v>
      </c>
      <c r="P385" s="2102"/>
      <c r="Q385" s="2266"/>
      <c r="R385" s="2320"/>
      <c r="S385" s="2263" t="s">
        <v>4755</v>
      </c>
      <c r="T385" s="2263" t="s">
        <v>4756</v>
      </c>
      <c r="U385" s="2263" t="s">
        <v>4757</v>
      </c>
      <c r="V385" s="2263" t="s">
        <v>4758</v>
      </c>
      <c r="W385" s="2263" t="s">
        <v>4759</v>
      </c>
      <c r="X385" s="2264" t="s">
        <v>4760</v>
      </c>
      <c r="Y385" s="2264" t="s">
        <v>4761</v>
      </c>
      <c r="Z385" s="2264" t="s">
        <v>4762</v>
      </c>
      <c r="AA385" s="2264" t="s">
        <v>4763</v>
      </c>
      <c r="AB385" s="2264" t="s">
        <v>4764</v>
      </c>
      <c r="AC385" s="2264" t="s">
        <v>4765</v>
      </c>
      <c r="AD385" s="2264" t="s">
        <v>4766</v>
      </c>
      <c r="AE385" s="2264" t="s">
        <v>4755</v>
      </c>
    </row>
    <row r="386" spans="1:31" s="24" customFormat="1">
      <c r="A386" s="17">
        <v>1</v>
      </c>
      <c r="B386" s="17">
        <v>2</v>
      </c>
      <c r="C386" s="18">
        <v>3</v>
      </c>
      <c r="D386" s="19">
        <v>4</v>
      </c>
      <c r="E386" s="17">
        <v>5</v>
      </c>
      <c r="F386" s="13">
        <v>6</v>
      </c>
      <c r="G386" s="20">
        <v>7</v>
      </c>
      <c r="H386" s="20">
        <v>8</v>
      </c>
      <c r="I386" s="20"/>
      <c r="J386" s="20">
        <v>9</v>
      </c>
      <c r="K386" s="20">
        <v>10</v>
      </c>
      <c r="L386" s="20">
        <v>11</v>
      </c>
      <c r="M386" s="19">
        <v>9</v>
      </c>
      <c r="N386" s="19">
        <v>10</v>
      </c>
      <c r="O386" s="19">
        <v>11</v>
      </c>
      <c r="P386" s="21">
        <v>12</v>
      </c>
      <c r="Q386" s="22"/>
      <c r="R386" s="2321"/>
      <c r="S386" s="23"/>
    </row>
    <row r="387" spans="1:31" s="70" customFormat="1" ht="117">
      <c r="A387" s="433">
        <v>290</v>
      </c>
      <c r="B387" s="434">
        <v>1</v>
      </c>
      <c r="C387" s="435" t="s">
        <v>808</v>
      </c>
      <c r="D387" s="436" t="s">
        <v>809</v>
      </c>
      <c r="E387" s="436" t="s">
        <v>47</v>
      </c>
      <c r="F387" s="436">
        <v>20</v>
      </c>
      <c r="G387" s="437">
        <v>92000</v>
      </c>
      <c r="H387" s="438">
        <f t="shared" ref="H387:H433" si="31">+G387*F387</f>
        <v>1840000</v>
      </c>
      <c r="I387" s="439">
        <v>20</v>
      </c>
      <c r="J387" s="440">
        <v>100000</v>
      </c>
      <c r="K387" s="440">
        <f>I387*J387</f>
        <v>2000000</v>
      </c>
      <c r="L387" s="30">
        <f t="shared" ref="L387:L433" si="32">J387-G387</f>
        <v>8000</v>
      </c>
      <c r="M387" s="441" t="s">
        <v>810</v>
      </c>
      <c r="N387" s="442" t="s">
        <v>811</v>
      </c>
      <c r="O387" s="443">
        <v>1</v>
      </c>
      <c r="P387" s="227" t="s">
        <v>812</v>
      </c>
      <c r="Q387" s="85"/>
      <c r="R387" s="2325" t="s">
        <v>813</v>
      </c>
      <c r="S387" s="444" t="s">
        <v>814</v>
      </c>
    </row>
    <row r="388" spans="1:31" s="70" customFormat="1" ht="117">
      <c r="A388" s="445">
        <v>291</v>
      </c>
      <c r="B388" s="446">
        <v>2</v>
      </c>
      <c r="C388" s="447" t="s">
        <v>815</v>
      </c>
      <c r="D388" s="448" t="s">
        <v>809</v>
      </c>
      <c r="E388" s="448" t="s">
        <v>47</v>
      </c>
      <c r="F388" s="448">
        <v>20</v>
      </c>
      <c r="G388" s="449">
        <v>92000</v>
      </c>
      <c r="H388" s="450">
        <f t="shared" si="31"/>
        <v>1840000</v>
      </c>
      <c r="I388" s="43">
        <v>20</v>
      </c>
      <c r="J388" s="451">
        <v>140000</v>
      </c>
      <c r="K388" s="451">
        <f t="shared" ref="K388:K433" si="33">I388*J388</f>
        <v>2800000</v>
      </c>
      <c r="L388" s="30">
        <f t="shared" si="32"/>
        <v>48000</v>
      </c>
      <c r="M388" s="452" t="s">
        <v>810</v>
      </c>
      <c r="N388" s="453" t="s">
        <v>811</v>
      </c>
      <c r="O388" s="454">
        <v>1</v>
      </c>
      <c r="P388" s="46" t="s">
        <v>812</v>
      </c>
      <c r="Q388" s="85"/>
      <c r="R388" s="2326" t="s">
        <v>813</v>
      </c>
      <c r="S388" s="455" t="s">
        <v>814</v>
      </c>
    </row>
    <row r="389" spans="1:31" s="70" customFormat="1" ht="117">
      <c r="A389" s="445">
        <v>292</v>
      </c>
      <c r="B389" s="446">
        <v>3</v>
      </c>
      <c r="C389" s="447" t="s">
        <v>816</v>
      </c>
      <c r="D389" s="448" t="s">
        <v>809</v>
      </c>
      <c r="E389" s="448" t="s">
        <v>47</v>
      </c>
      <c r="F389" s="448">
        <v>10</v>
      </c>
      <c r="G389" s="449">
        <v>42000</v>
      </c>
      <c r="H389" s="450">
        <f t="shared" si="31"/>
        <v>420000</v>
      </c>
      <c r="I389" s="43">
        <v>10</v>
      </c>
      <c r="J389" s="451">
        <v>47000</v>
      </c>
      <c r="K389" s="451">
        <f t="shared" si="33"/>
        <v>470000</v>
      </c>
      <c r="L389" s="30">
        <f t="shared" si="32"/>
        <v>5000</v>
      </c>
      <c r="M389" s="452" t="s">
        <v>810</v>
      </c>
      <c r="N389" s="453" t="s">
        <v>817</v>
      </c>
      <c r="O389" s="454">
        <v>1</v>
      </c>
      <c r="P389" s="46" t="s">
        <v>812</v>
      </c>
      <c r="Q389" s="85"/>
      <c r="R389" s="2326" t="s">
        <v>813</v>
      </c>
      <c r="S389" s="455" t="s">
        <v>814</v>
      </c>
    </row>
    <row r="390" spans="1:31" s="70" customFormat="1" ht="45">
      <c r="A390" s="445">
        <v>293</v>
      </c>
      <c r="B390" s="446">
        <v>4</v>
      </c>
      <c r="C390" s="447" t="s">
        <v>818</v>
      </c>
      <c r="D390" s="448" t="s">
        <v>809</v>
      </c>
      <c r="E390" s="448" t="s">
        <v>47</v>
      </c>
      <c r="F390" s="448">
        <v>80</v>
      </c>
      <c r="G390" s="449">
        <v>280000</v>
      </c>
      <c r="H390" s="450">
        <f t="shared" si="31"/>
        <v>22400000</v>
      </c>
      <c r="I390" s="43">
        <v>80</v>
      </c>
      <c r="J390" s="451">
        <v>350000</v>
      </c>
      <c r="K390" s="451">
        <f t="shared" si="33"/>
        <v>28000000</v>
      </c>
      <c r="L390" s="30">
        <f t="shared" si="32"/>
        <v>70000</v>
      </c>
      <c r="M390" s="452" t="s">
        <v>810</v>
      </c>
      <c r="N390" s="453" t="s">
        <v>819</v>
      </c>
      <c r="O390" s="454">
        <v>1</v>
      </c>
      <c r="P390" s="46" t="s">
        <v>812</v>
      </c>
      <c r="Q390" s="85"/>
      <c r="R390" s="2326" t="s">
        <v>820</v>
      </c>
      <c r="S390" s="455" t="s">
        <v>821</v>
      </c>
    </row>
    <row r="391" spans="1:31" s="70" customFormat="1" ht="45">
      <c r="A391" s="445">
        <v>294</v>
      </c>
      <c r="B391" s="446">
        <v>5</v>
      </c>
      <c r="C391" s="447" t="s">
        <v>822</v>
      </c>
      <c r="D391" s="448" t="s">
        <v>809</v>
      </c>
      <c r="E391" s="448" t="s">
        <v>47</v>
      </c>
      <c r="F391" s="448">
        <v>10</v>
      </c>
      <c r="G391" s="449">
        <v>200000</v>
      </c>
      <c r="H391" s="450">
        <f t="shared" si="31"/>
        <v>2000000</v>
      </c>
      <c r="I391" s="43">
        <v>10</v>
      </c>
      <c r="J391" s="451">
        <v>315000</v>
      </c>
      <c r="K391" s="451">
        <f t="shared" si="33"/>
        <v>3150000</v>
      </c>
      <c r="L391" s="30">
        <f t="shared" si="32"/>
        <v>115000</v>
      </c>
      <c r="M391" s="452" t="s">
        <v>810</v>
      </c>
      <c r="N391" s="453" t="s">
        <v>823</v>
      </c>
      <c r="O391" s="454">
        <v>1</v>
      </c>
      <c r="P391" s="46" t="s">
        <v>812</v>
      </c>
      <c r="Q391" s="85"/>
      <c r="R391" s="2326" t="s">
        <v>820</v>
      </c>
      <c r="S391" s="455" t="s">
        <v>821</v>
      </c>
    </row>
    <row r="392" spans="1:31" s="70" customFormat="1" ht="45">
      <c r="A392" s="445">
        <v>295</v>
      </c>
      <c r="B392" s="446">
        <v>6</v>
      </c>
      <c r="C392" s="447" t="s">
        <v>824</v>
      </c>
      <c r="D392" s="448" t="s">
        <v>809</v>
      </c>
      <c r="E392" s="448" t="s">
        <v>47</v>
      </c>
      <c r="F392" s="448">
        <v>2</v>
      </c>
      <c r="G392" s="449">
        <v>200000</v>
      </c>
      <c r="H392" s="450">
        <f t="shared" si="31"/>
        <v>400000</v>
      </c>
      <c r="I392" s="43">
        <v>2</v>
      </c>
      <c r="J392" s="451">
        <v>545000</v>
      </c>
      <c r="K392" s="451">
        <f>I392*J392</f>
        <v>1090000</v>
      </c>
      <c r="L392" s="30">
        <f t="shared" si="32"/>
        <v>345000</v>
      </c>
      <c r="M392" s="452" t="s">
        <v>810</v>
      </c>
      <c r="N392" s="453" t="s">
        <v>823</v>
      </c>
      <c r="O392" s="454">
        <v>1</v>
      </c>
      <c r="P392" s="46" t="s">
        <v>812</v>
      </c>
      <c r="Q392" s="85"/>
      <c r="R392" s="2326" t="s">
        <v>820</v>
      </c>
      <c r="S392" s="455" t="s">
        <v>821</v>
      </c>
    </row>
    <row r="393" spans="1:31" s="70" customFormat="1" ht="117">
      <c r="A393" s="445">
        <v>296</v>
      </c>
      <c r="B393" s="446">
        <v>7</v>
      </c>
      <c r="C393" s="447" t="s">
        <v>825</v>
      </c>
      <c r="D393" s="448" t="s">
        <v>809</v>
      </c>
      <c r="E393" s="448" t="s">
        <v>47</v>
      </c>
      <c r="F393" s="448">
        <v>30</v>
      </c>
      <c r="G393" s="449">
        <v>260000</v>
      </c>
      <c r="H393" s="450">
        <f t="shared" si="31"/>
        <v>7800000</v>
      </c>
      <c r="I393" s="43">
        <v>30</v>
      </c>
      <c r="J393" s="451">
        <v>300000</v>
      </c>
      <c r="K393" s="451">
        <f t="shared" si="33"/>
        <v>9000000</v>
      </c>
      <c r="L393" s="30">
        <f t="shared" si="32"/>
        <v>40000</v>
      </c>
      <c r="M393" s="452" t="s">
        <v>810</v>
      </c>
      <c r="N393" s="453" t="s">
        <v>826</v>
      </c>
      <c r="O393" s="454">
        <v>1</v>
      </c>
      <c r="P393" s="46" t="s">
        <v>812</v>
      </c>
      <c r="Q393" s="85"/>
      <c r="R393" s="2326" t="s">
        <v>813</v>
      </c>
      <c r="S393" s="455" t="s">
        <v>814</v>
      </c>
    </row>
    <row r="394" spans="1:31" s="70" customFormat="1" ht="117">
      <c r="A394" s="445">
        <v>297</v>
      </c>
      <c r="B394" s="446">
        <v>8</v>
      </c>
      <c r="C394" s="447" t="s">
        <v>827</v>
      </c>
      <c r="D394" s="448" t="s">
        <v>809</v>
      </c>
      <c r="E394" s="448" t="s">
        <v>47</v>
      </c>
      <c r="F394" s="448">
        <v>10</v>
      </c>
      <c r="G394" s="449">
        <v>110000</v>
      </c>
      <c r="H394" s="450">
        <f t="shared" si="31"/>
        <v>1100000</v>
      </c>
      <c r="I394" s="43">
        <v>10</v>
      </c>
      <c r="J394" s="451">
        <v>140000</v>
      </c>
      <c r="K394" s="451">
        <f t="shared" si="33"/>
        <v>1400000</v>
      </c>
      <c r="L394" s="30">
        <f t="shared" si="32"/>
        <v>30000</v>
      </c>
      <c r="M394" s="452" t="s">
        <v>810</v>
      </c>
      <c r="N394" s="453" t="s">
        <v>828</v>
      </c>
      <c r="O394" s="454">
        <v>1</v>
      </c>
      <c r="P394" s="46" t="s">
        <v>812</v>
      </c>
      <c r="Q394" s="85"/>
      <c r="R394" s="2326" t="s">
        <v>813</v>
      </c>
      <c r="S394" s="455" t="s">
        <v>814</v>
      </c>
    </row>
    <row r="395" spans="1:31" s="70" customFormat="1" ht="117">
      <c r="A395" s="445">
        <v>298</v>
      </c>
      <c r="B395" s="446">
        <v>9</v>
      </c>
      <c r="C395" s="447" t="s">
        <v>829</v>
      </c>
      <c r="D395" s="448" t="s">
        <v>809</v>
      </c>
      <c r="E395" s="448" t="s">
        <v>47</v>
      </c>
      <c r="F395" s="448">
        <v>5</v>
      </c>
      <c r="G395" s="449">
        <v>80000</v>
      </c>
      <c r="H395" s="450">
        <f t="shared" si="31"/>
        <v>400000</v>
      </c>
      <c r="I395" s="43">
        <v>5</v>
      </c>
      <c r="J395" s="451">
        <v>140000</v>
      </c>
      <c r="K395" s="451">
        <f>I395*J395</f>
        <v>700000</v>
      </c>
      <c r="L395" s="30">
        <f t="shared" si="32"/>
        <v>60000</v>
      </c>
      <c r="M395" s="452" t="s">
        <v>810</v>
      </c>
      <c r="N395" s="453" t="s">
        <v>828</v>
      </c>
      <c r="O395" s="454">
        <v>1</v>
      </c>
      <c r="P395" s="46" t="s">
        <v>812</v>
      </c>
      <c r="Q395" s="85"/>
      <c r="R395" s="2326" t="s">
        <v>813</v>
      </c>
      <c r="S395" s="455" t="s">
        <v>814</v>
      </c>
    </row>
    <row r="396" spans="1:31" s="70" customFormat="1" ht="117">
      <c r="A396" s="445">
        <v>299</v>
      </c>
      <c r="B396" s="446">
        <v>10</v>
      </c>
      <c r="C396" s="447" t="s">
        <v>830</v>
      </c>
      <c r="D396" s="448" t="s">
        <v>809</v>
      </c>
      <c r="E396" s="448" t="s">
        <v>47</v>
      </c>
      <c r="F396" s="448">
        <v>5</v>
      </c>
      <c r="G396" s="449">
        <v>80000</v>
      </c>
      <c r="H396" s="450">
        <f t="shared" si="31"/>
        <v>400000</v>
      </c>
      <c r="I396" s="43">
        <v>5</v>
      </c>
      <c r="J396" s="451">
        <v>90000</v>
      </c>
      <c r="K396" s="451">
        <f t="shared" si="33"/>
        <v>450000</v>
      </c>
      <c r="L396" s="30">
        <f t="shared" si="32"/>
        <v>10000</v>
      </c>
      <c r="M396" s="452" t="s">
        <v>810</v>
      </c>
      <c r="N396" s="453" t="s">
        <v>831</v>
      </c>
      <c r="O396" s="454">
        <v>1</v>
      </c>
      <c r="P396" s="46" t="s">
        <v>812</v>
      </c>
      <c r="Q396" s="85"/>
      <c r="R396" s="2326" t="s">
        <v>813</v>
      </c>
      <c r="S396" s="455" t="s">
        <v>814</v>
      </c>
    </row>
    <row r="397" spans="1:31" s="70" customFormat="1" ht="117">
      <c r="A397" s="445">
        <v>300</v>
      </c>
      <c r="B397" s="446">
        <v>11</v>
      </c>
      <c r="C397" s="447" t="s">
        <v>832</v>
      </c>
      <c r="D397" s="448" t="s">
        <v>809</v>
      </c>
      <c r="E397" s="448" t="s">
        <v>47</v>
      </c>
      <c r="F397" s="448">
        <v>5</v>
      </c>
      <c r="G397" s="449">
        <v>80000</v>
      </c>
      <c r="H397" s="450">
        <f t="shared" si="31"/>
        <v>400000</v>
      </c>
      <c r="I397" s="43">
        <v>5</v>
      </c>
      <c r="J397" s="451">
        <v>95000</v>
      </c>
      <c r="K397" s="451">
        <f t="shared" si="33"/>
        <v>475000</v>
      </c>
      <c r="L397" s="30">
        <f t="shared" si="32"/>
        <v>15000</v>
      </c>
      <c r="M397" s="452" t="s">
        <v>810</v>
      </c>
      <c r="N397" s="453" t="s">
        <v>831</v>
      </c>
      <c r="O397" s="454">
        <v>1</v>
      </c>
      <c r="P397" s="46" t="s">
        <v>812</v>
      </c>
      <c r="Q397" s="85"/>
      <c r="R397" s="2326" t="s">
        <v>813</v>
      </c>
      <c r="S397" s="455" t="s">
        <v>814</v>
      </c>
    </row>
    <row r="398" spans="1:31" s="70" customFormat="1" ht="117">
      <c r="A398" s="445">
        <v>301</v>
      </c>
      <c r="B398" s="446">
        <v>12</v>
      </c>
      <c r="C398" s="447" t="s">
        <v>833</v>
      </c>
      <c r="D398" s="448" t="s">
        <v>809</v>
      </c>
      <c r="E398" s="448" t="s">
        <v>47</v>
      </c>
      <c r="F398" s="448">
        <v>80</v>
      </c>
      <c r="G398" s="449">
        <v>150000</v>
      </c>
      <c r="H398" s="450">
        <f t="shared" si="31"/>
        <v>12000000</v>
      </c>
      <c r="I398" s="43">
        <v>80</v>
      </c>
      <c r="J398" s="451">
        <v>185000</v>
      </c>
      <c r="K398" s="451">
        <f>I398*J398</f>
        <v>14800000</v>
      </c>
      <c r="L398" s="30">
        <f t="shared" si="32"/>
        <v>35000</v>
      </c>
      <c r="M398" s="452" t="s">
        <v>810</v>
      </c>
      <c r="N398" s="453" t="s">
        <v>834</v>
      </c>
      <c r="O398" s="454">
        <v>1</v>
      </c>
      <c r="P398" s="46" t="s">
        <v>812</v>
      </c>
      <c r="Q398" s="85"/>
      <c r="R398" s="2326" t="s">
        <v>813</v>
      </c>
      <c r="S398" s="455" t="s">
        <v>814</v>
      </c>
    </row>
    <row r="399" spans="1:31" s="70" customFormat="1" ht="117">
      <c r="A399" s="445">
        <v>302</v>
      </c>
      <c r="B399" s="446">
        <v>13</v>
      </c>
      <c r="C399" s="447" t="s">
        <v>835</v>
      </c>
      <c r="D399" s="448" t="s">
        <v>809</v>
      </c>
      <c r="E399" s="448" t="s">
        <v>47</v>
      </c>
      <c r="F399" s="448">
        <v>80</v>
      </c>
      <c r="G399" s="449">
        <v>80000</v>
      </c>
      <c r="H399" s="450">
        <f t="shared" si="31"/>
        <v>6400000</v>
      </c>
      <c r="I399" s="43">
        <v>80</v>
      </c>
      <c r="J399" s="451">
        <v>100000</v>
      </c>
      <c r="K399" s="451">
        <f t="shared" si="33"/>
        <v>8000000</v>
      </c>
      <c r="L399" s="30">
        <f t="shared" si="32"/>
        <v>20000</v>
      </c>
      <c r="M399" s="452" t="s">
        <v>810</v>
      </c>
      <c r="N399" s="453" t="s">
        <v>836</v>
      </c>
      <c r="O399" s="454">
        <v>1</v>
      </c>
      <c r="P399" s="46" t="s">
        <v>812</v>
      </c>
      <c r="Q399" s="85"/>
      <c r="R399" s="2326" t="s">
        <v>813</v>
      </c>
      <c r="S399" s="455" t="s">
        <v>814</v>
      </c>
    </row>
    <row r="400" spans="1:31" s="70" customFormat="1" ht="117">
      <c r="A400" s="445">
        <v>303</v>
      </c>
      <c r="B400" s="446">
        <v>14</v>
      </c>
      <c r="C400" s="447" t="s">
        <v>837</v>
      </c>
      <c r="D400" s="448" t="s">
        <v>809</v>
      </c>
      <c r="E400" s="448" t="s">
        <v>47</v>
      </c>
      <c r="F400" s="448">
        <v>10</v>
      </c>
      <c r="G400" s="449">
        <v>80000</v>
      </c>
      <c r="H400" s="450">
        <f t="shared" si="31"/>
        <v>800000</v>
      </c>
      <c r="I400" s="43">
        <v>10</v>
      </c>
      <c r="J400" s="451">
        <v>120000</v>
      </c>
      <c r="K400" s="451">
        <f t="shared" si="33"/>
        <v>1200000</v>
      </c>
      <c r="L400" s="30">
        <f t="shared" si="32"/>
        <v>40000</v>
      </c>
      <c r="M400" s="452" t="s">
        <v>810</v>
      </c>
      <c r="N400" s="453" t="s">
        <v>838</v>
      </c>
      <c r="O400" s="454">
        <v>1</v>
      </c>
      <c r="P400" s="46" t="s">
        <v>812</v>
      </c>
      <c r="Q400" s="85"/>
      <c r="R400" s="2326" t="s">
        <v>813</v>
      </c>
      <c r="S400" s="455" t="s">
        <v>814</v>
      </c>
    </row>
    <row r="401" spans="1:19" s="70" customFormat="1" ht="117">
      <c r="A401" s="445">
        <v>304</v>
      </c>
      <c r="B401" s="446">
        <v>15</v>
      </c>
      <c r="C401" s="447" t="s">
        <v>839</v>
      </c>
      <c r="D401" s="448" t="s">
        <v>809</v>
      </c>
      <c r="E401" s="448" t="s">
        <v>47</v>
      </c>
      <c r="F401" s="448">
        <v>5</v>
      </c>
      <c r="G401" s="449">
        <v>60000</v>
      </c>
      <c r="H401" s="450">
        <f t="shared" si="31"/>
        <v>300000</v>
      </c>
      <c r="I401" s="43">
        <v>5</v>
      </c>
      <c r="J401" s="451">
        <v>68000</v>
      </c>
      <c r="K401" s="451">
        <f t="shared" si="33"/>
        <v>340000</v>
      </c>
      <c r="L401" s="30">
        <f t="shared" si="32"/>
        <v>8000</v>
      </c>
      <c r="M401" s="452" t="s">
        <v>840</v>
      </c>
      <c r="N401" s="456" t="s">
        <v>841</v>
      </c>
      <c r="O401" s="454">
        <v>1</v>
      </c>
      <c r="P401" s="46" t="s">
        <v>812</v>
      </c>
      <c r="Q401" s="85"/>
      <c r="R401" s="2326" t="s">
        <v>813</v>
      </c>
      <c r="S401" s="455" t="s">
        <v>814</v>
      </c>
    </row>
    <row r="402" spans="1:19" s="70" customFormat="1" ht="117">
      <c r="A402" s="445">
        <v>305</v>
      </c>
      <c r="B402" s="446">
        <v>16</v>
      </c>
      <c r="C402" s="447" t="s">
        <v>842</v>
      </c>
      <c r="D402" s="448" t="s">
        <v>809</v>
      </c>
      <c r="E402" s="448" t="s">
        <v>47</v>
      </c>
      <c r="F402" s="448">
        <v>30</v>
      </c>
      <c r="G402" s="449">
        <v>100000</v>
      </c>
      <c r="H402" s="450">
        <f t="shared" si="31"/>
        <v>3000000</v>
      </c>
      <c r="I402" s="43">
        <v>30</v>
      </c>
      <c r="J402" s="451">
        <v>140000</v>
      </c>
      <c r="K402" s="451">
        <f t="shared" si="33"/>
        <v>4200000</v>
      </c>
      <c r="L402" s="30">
        <f t="shared" si="32"/>
        <v>40000</v>
      </c>
      <c r="M402" s="452" t="s">
        <v>840</v>
      </c>
      <c r="N402" s="456" t="s">
        <v>843</v>
      </c>
      <c r="O402" s="454">
        <v>1</v>
      </c>
      <c r="P402" s="46" t="s">
        <v>812</v>
      </c>
      <c r="Q402" s="85"/>
      <c r="R402" s="2326" t="s">
        <v>813</v>
      </c>
      <c r="S402" s="455" t="s">
        <v>814</v>
      </c>
    </row>
    <row r="403" spans="1:19" s="70" customFormat="1" ht="117">
      <c r="A403" s="445">
        <v>306</v>
      </c>
      <c r="B403" s="446">
        <v>17</v>
      </c>
      <c r="C403" s="447" t="s">
        <v>844</v>
      </c>
      <c r="D403" s="448" t="s">
        <v>809</v>
      </c>
      <c r="E403" s="448" t="s">
        <v>47</v>
      </c>
      <c r="F403" s="448">
        <v>50</v>
      </c>
      <c r="G403" s="449">
        <v>90000</v>
      </c>
      <c r="H403" s="450">
        <f t="shared" si="31"/>
        <v>4500000</v>
      </c>
      <c r="I403" s="43">
        <v>50</v>
      </c>
      <c r="J403" s="451">
        <v>120000</v>
      </c>
      <c r="K403" s="451">
        <f t="shared" si="33"/>
        <v>6000000</v>
      </c>
      <c r="L403" s="30">
        <f t="shared" si="32"/>
        <v>30000</v>
      </c>
      <c r="M403" s="452" t="s">
        <v>810</v>
      </c>
      <c r="N403" s="456" t="s">
        <v>845</v>
      </c>
      <c r="O403" s="454">
        <v>1</v>
      </c>
      <c r="P403" s="46" t="s">
        <v>812</v>
      </c>
      <c r="Q403" s="85"/>
      <c r="R403" s="2326" t="s">
        <v>813</v>
      </c>
      <c r="S403" s="455" t="s">
        <v>814</v>
      </c>
    </row>
    <row r="404" spans="1:19" s="70" customFormat="1" ht="117">
      <c r="A404" s="445">
        <v>307</v>
      </c>
      <c r="B404" s="446">
        <v>18</v>
      </c>
      <c r="C404" s="447" t="s">
        <v>846</v>
      </c>
      <c r="D404" s="448" t="s">
        <v>809</v>
      </c>
      <c r="E404" s="448" t="s">
        <v>47</v>
      </c>
      <c r="F404" s="448">
        <v>10</v>
      </c>
      <c r="G404" s="449">
        <v>90000</v>
      </c>
      <c r="H404" s="450">
        <f t="shared" si="31"/>
        <v>900000</v>
      </c>
      <c r="I404" s="43">
        <v>10</v>
      </c>
      <c r="J404" s="451">
        <v>140000</v>
      </c>
      <c r="K404" s="451">
        <f t="shared" si="33"/>
        <v>1400000</v>
      </c>
      <c r="L404" s="30">
        <f t="shared" si="32"/>
        <v>50000</v>
      </c>
      <c r="M404" s="452" t="s">
        <v>810</v>
      </c>
      <c r="N404" s="456" t="s">
        <v>847</v>
      </c>
      <c r="O404" s="454">
        <v>1</v>
      </c>
      <c r="P404" s="46" t="s">
        <v>812</v>
      </c>
      <c r="Q404" s="85"/>
      <c r="R404" s="2326" t="s">
        <v>813</v>
      </c>
      <c r="S404" s="455" t="s">
        <v>814</v>
      </c>
    </row>
    <row r="405" spans="1:19" s="70" customFormat="1" ht="117">
      <c r="A405" s="445">
        <v>308</v>
      </c>
      <c r="B405" s="446">
        <v>19</v>
      </c>
      <c r="C405" s="447" t="s">
        <v>848</v>
      </c>
      <c r="D405" s="448" t="s">
        <v>809</v>
      </c>
      <c r="E405" s="448" t="s">
        <v>47</v>
      </c>
      <c r="F405" s="448">
        <v>5</v>
      </c>
      <c r="G405" s="449">
        <v>100000</v>
      </c>
      <c r="H405" s="450">
        <f t="shared" si="31"/>
        <v>500000</v>
      </c>
      <c r="I405" s="43">
        <v>5</v>
      </c>
      <c r="J405" s="451">
        <v>140000</v>
      </c>
      <c r="K405" s="451">
        <f t="shared" si="33"/>
        <v>700000</v>
      </c>
      <c r="L405" s="30">
        <f t="shared" si="32"/>
        <v>40000</v>
      </c>
      <c r="M405" s="452" t="s">
        <v>810</v>
      </c>
      <c r="N405" s="456" t="s">
        <v>849</v>
      </c>
      <c r="O405" s="454">
        <v>1</v>
      </c>
      <c r="P405" s="46" t="s">
        <v>812</v>
      </c>
      <c r="Q405" s="85"/>
      <c r="R405" s="2326" t="s">
        <v>813</v>
      </c>
      <c r="S405" s="455" t="s">
        <v>814</v>
      </c>
    </row>
    <row r="406" spans="1:19" s="70" customFormat="1" ht="117">
      <c r="A406" s="445">
        <v>309</v>
      </c>
      <c r="B406" s="446">
        <v>20</v>
      </c>
      <c r="C406" s="447" t="s">
        <v>850</v>
      </c>
      <c r="D406" s="448" t="s">
        <v>809</v>
      </c>
      <c r="E406" s="448" t="s">
        <v>47</v>
      </c>
      <c r="F406" s="448">
        <v>60</v>
      </c>
      <c r="G406" s="449">
        <v>140000</v>
      </c>
      <c r="H406" s="450">
        <f t="shared" si="31"/>
        <v>8400000</v>
      </c>
      <c r="I406" s="43">
        <v>60</v>
      </c>
      <c r="J406" s="451">
        <v>205000</v>
      </c>
      <c r="K406" s="451">
        <f t="shared" si="33"/>
        <v>12300000</v>
      </c>
      <c r="L406" s="30">
        <f t="shared" si="32"/>
        <v>65000</v>
      </c>
      <c r="M406" s="452" t="s">
        <v>810</v>
      </c>
      <c r="N406" s="456" t="s">
        <v>851</v>
      </c>
      <c r="O406" s="454">
        <v>1</v>
      </c>
      <c r="P406" s="46" t="s">
        <v>812</v>
      </c>
      <c r="Q406" s="85"/>
      <c r="R406" s="2326" t="s">
        <v>813</v>
      </c>
      <c r="S406" s="455" t="s">
        <v>814</v>
      </c>
    </row>
    <row r="407" spans="1:19" s="467" customFormat="1" ht="117">
      <c r="A407" s="457">
        <v>310</v>
      </c>
      <c r="B407" s="458">
        <v>21</v>
      </c>
      <c r="C407" s="459" t="s">
        <v>852</v>
      </c>
      <c r="D407" s="458" t="s">
        <v>809</v>
      </c>
      <c r="E407" s="458" t="s">
        <v>47</v>
      </c>
      <c r="F407" s="458">
        <v>50</v>
      </c>
      <c r="G407" s="460">
        <v>11000</v>
      </c>
      <c r="H407" s="460">
        <f t="shared" si="31"/>
        <v>550000</v>
      </c>
      <c r="I407" s="171">
        <v>50</v>
      </c>
      <c r="J407" s="460">
        <v>11000</v>
      </c>
      <c r="K407" s="460">
        <f t="shared" si="33"/>
        <v>550000</v>
      </c>
      <c r="L407" s="154">
        <f t="shared" si="32"/>
        <v>0</v>
      </c>
      <c r="M407" s="461" t="s">
        <v>810</v>
      </c>
      <c r="N407" s="462" t="s">
        <v>853</v>
      </c>
      <c r="O407" s="463">
        <v>1</v>
      </c>
      <c r="P407" s="464" t="s">
        <v>812</v>
      </c>
      <c r="Q407" s="465"/>
      <c r="R407" s="2327" t="s">
        <v>813</v>
      </c>
      <c r="S407" s="466" t="s">
        <v>814</v>
      </c>
    </row>
    <row r="408" spans="1:19" s="70" customFormat="1" ht="117">
      <c r="A408" s="445">
        <v>311</v>
      </c>
      <c r="B408" s="446">
        <v>22</v>
      </c>
      <c r="C408" s="447" t="s">
        <v>854</v>
      </c>
      <c r="D408" s="448" t="s">
        <v>809</v>
      </c>
      <c r="E408" s="448" t="s">
        <v>47</v>
      </c>
      <c r="F408" s="448">
        <v>50</v>
      </c>
      <c r="G408" s="449">
        <v>12000</v>
      </c>
      <c r="H408" s="450">
        <f t="shared" si="31"/>
        <v>600000</v>
      </c>
      <c r="I408" s="43">
        <v>50</v>
      </c>
      <c r="J408" s="451">
        <v>12000</v>
      </c>
      <c r="K408" s="451">
        <f t="shared" si="33"/>
        <v>600000</v>
      </c>
      <c r="L408" s="30">
        <f t="shared" si="32"/>
        <v>0</v>
      </c>
      <c r="M408" s="452" t="s">
        <v>810</v>
      </c>
      <c r="N408" s="456" t="s">
        <v>853</v>
      </c>
      <c r="O408" s="454">
        <v>1</v>
      </c>
      <c r="P408" s="46" t="s">
        <v>812</v>
      </c>
      <c r="Q408" s="85"/>
      <c r="R408" s="2326" t="s">
        <v>813</v>
      </c>
      <c r="S408" s="455" t="s">
        <v>814</v>
      </c>
    </row>
    <row r="409" spans="1:19" s="70" customFormat="1" ht="117">
      <c r="A409" s="445">
        <v>312</v>
      </c>
      <c r="B409" s="446">
        <v>23</v>
      </c>
      <c r="C409" s="447" t="s">
        <v>855</v>
      </c>
      <c r="D409" s="448" t="s">
        <v>809</v>
      </c>
      <c r="E409" s="448" t="s">
        <v>47</v>
      </c>
      <c r="F409" s="448">
        <v>50</v>
      </c>
      <c r="G409" s="449">
        <v>20000</v>
      </c>
      <c r="H409" s="450">
        <f t="shared" si="31"/>
        <v>1000000</v>
      </c>
      <c r="I409" s="43">
        <v>50</v>
      </c>
      <c r="J409" s="451">
        <v>36000</v>
      </c>
      <c r="K409" s="451">
        <f t="shared" si="33"/>
        <v>1800000</v>
      </c>
      <c r="L409" s="30">
        <f t="shared" si="32"/>
        <v>16000</v>
      </c>
      <c r="M409" s="452" t="s">
        <v>810</v>
      </c>
      <c r="N409" s="456" t="s">
        <v>856</v>
      </c>
      <c r="O409" s="454">
        <v>1</v>
      </c>
      <c r="P409" s="46" t="s">
        <v>812</v>
      </c>
      <c r="Q409" s="85"/>
      <c r="R409" s="2326" t="s">
        <v>813</v>
      </c>
      <c r="S409" s="455" t="s">
        <v>814</v>
      </c>
    </row>
    <row r="410" spans="1:19" s="467" customFormat="1" ht="117">
      <c r="A410" s="457">
        <v>313</v>
      </c>
      <c r="B410" s="458">
        <v>24</v>
      </c>
      <c r="C410" s="459" t="s">
        <v>857</v>
      </c>
      <c r="D410" s="458" t="s">
        <v>809</v>
      </c>
      <c r="E410" s="458" t="s">
        <v>47</v>
      </c>
      <c r="F410" s="458">
        <v>2</v>
      </c>
      <c r="G410" s="460">
        <v>26000</v>
      </c>
      <c r="H410" s="460">
        <f t="shared" si="31"/>
        <v>52000</v>
      </c>
      <c r="I410" s="171">
        <v>2</v>
      </c>
      <c r="J410" s="460">
        <v>26000</v>
      </c>
      <c r="K410" s="460">
        <f t="shared" si="33"/>
        <v>52000</v>
      </c>
      <c r="L410" s="154">
        <f t="shared" si="32"/>
        <v>0</v>
      </c>
      <c r="M410" s="461" t="s">
        <v>810</v>
      </c>
      <c r="N410" s="462" t="s">
        <v>858</v>
      </c>
      <c r="O410" s="463">
        <v>1</v>
      </c>
      <c r="P410" s="464" t="s">
        <v>812</v>
      </c>
      <c r="Q410" s="465"/>
      <c r="R410" s="2327" t="s">
        <v>813</v>
      </c>
      <c r="S410" s="466" t="s">
        <v>814</v>
      </c>
    </row>
    <row r="411" spans="1:19" s="70" customFormat="1" ht="117">
      <c r="A411" s="445">
        <v>314</v>
      </c>
      <c r="B411" s="446">
        <v>25</v>
      </c>
      <c r="C411" s="447" t="s">
        <v>859</v>
      </c>
      <c r="D411" s="448" t="s">
        <v>809</v>
      </c>
      <c r="E411" s="448" t="s">
        <v>47</v>
      </c>
      <c r="F411" s="448">
        <v>80</v>
      </c>
      <c r="G411" s="449">
        <v>85000</v>
      </c>
      <c r="H411" s="450">
        <f t="shared" si="31"/>
        <v>6800000</v>
      </c>
      <c r="I411" s="43">
        <v>80</v>
      </c>
      <c r="J411" s="451">
        <v>120000</v>
      </c>
      <c r="K411" s="451">
        <f t="shared" si="33"/>
        <v>9600000</v>
      </c>
      <c r="L411" s="30">
        <f t="shared" si="32"/>
        <v>35000</v>
      </c>
      <c r="M411" s="452" t="s">
        <v>810</v>
      </c>
      <c r="N411" s="456" t="s">
        <v>860</v>
      </c>
      <c r="O411" s="454">
        <v>1</v>
      </c>
      <c r="P411" s="46" t="s">
        <v>812</v>
      </c>
      <c r="Q411" s="85"/>
      <c r="R411" s="2326" t="s">
        <v>813</v>
      </c>
      <c r="S411" s="455" t="s">
        <v>814</v>
      </c>
    </row>
    <row r="412" spans="1:19" s="70" customFormat="1" ht="117">
      <c r="A412" s="445">
        <v>315</v>
      </c>
      <c r="B412" s="446">
        <v>26</v>
      </c>
      <c r="C412" s="447" t="s">
        <v>861</v>
      </c>
      <c r="D412" s="448" t="s">
        <v>809</v>
      </c>
      <c r="E412" s="448" t="s">
        <v>47</v>
      </c>
      <c r="F412" s="448">
        <v>100</v>
      </c>
      <c r="G412" s="449">
        <v>140000</v>
      </c>
      <c r="H412" s="450">
        <f t="shared" si="31"/>
        <v>14000000</v>
      </c>
      <c r="I412" s="43">
        <v>100</v>
      </c>
      <c r="J412" s="451">
        <v>230000</v>
      </c>
      <c r="K412" s="451">
        <f t="shared" si="33"/>
        <v>23000000</v>
      </c>
      <c r="L412" s="30">
        <f t="shared" si="32"/>
        <v>90000</v>
      </c>
      <c r="M412" s="452" t="s">
        <v>810</v>
      </c>
      <c r="N412" s="456" t="s">
        <v>862</v>
      </c>
      <c r="O412" s="454">
        <v>1</v>
      </c>
      <c r="P412" s="46" t="s">
        <v>812</v>
      </c>
      <c r="Q412" s="85"/>
      <c r="R412" s="2326" t="s">
        <v>813</v>
      </c>
      <c r="S412" s="455" t="s">
        <v>814</v>
      </c>
    </row>
    <row r="413" spans="1:19" s="70" customFormat="1" ht="117">
      <c r="A413" s="445">
        <v>316</v>
      </c>
      <c r="B413" s="446">
        <v>27</v>
      </c>
      <c r="C413" s="447" t="s">
        <v>863</v>
      </c>
      <c r="D413" s="448" t="s">
        <v>809</v>
      </c>
      <c r="E413" s="448" t="s">
        <v>47</v>
      </c>
      <c r="F413" s="448">
        <v>5</v>
      </c>
      <c r="G413" s="449">
        <v>140000</v>
      </c>
      <c r="H413" s="450">
        <f t="shared" si="31"/>
        <v>700000</v>
      </c>
      <c r="I413" s="43">
        <v>5</v>
      </c>
      <c r="J413" s="451">
        <v>265000</v>
      </c>
      <c r="K413" s="451">
        <f t="shared" si="33"/>
        <v>1325000</v>
      </c>
      <c r="L413" s="30">
        <f t="shared" si="32"/>
        <v>125000</v>
      </c>
      <c r="M413" s="452" t="s">
        <v>810</v>
      </c>
      <c r="N413" s="456" t="s">
        <v>862</v>
      </c>
      <c r="O413" s="454">
        <v>1</v>
      </c>
      <c r="P413" s="46" t="s">
        <v>812</v>
      </c>
      <c r="Q413" s="85"/>
      <c r="R413" s="2326" t="s">
        <v>813</v>
      </c>
      <c r="S413" s="455" t="s">
        <v>814</v>
      </c>
    </row>
    <row r="414" spans="1:19" s="467" customFormat="1" ht="117">
      <c r="A414" s="457">
        <v>317</v>
      </c>
      <c r="B414" s="458">
        <v>28</v>
      </c>
      <c r="C414" s="459" t="s">
        <v>864</v>
      </c>
      <c r="D414" s="458" t="s">
        <v>809</v>
      </c>
      <c r="E414" s="458" t="s">
        <v>47</v>
      </c>
      <c r="F414" s="458">
        <v>2</v>
      </c>
      <c r="G414" s="460">
        <v>640000</v>
      </c>
      <c r="H414" s="460">
        <f t="shared" si="31"/>
        <v>1280000</v>
      </c>
      <c r="I414" s="171">
        <v>2</v>
      </c>
      <c r="J414" s="460">
        <v>640000</v>
      </c>
      <c r="K414" s="460">
        <f t="shared" si="33"/>
        <v>1280000</v>
      </c>
      <c r="L414" s="154">
        <f t="shared" si="32"/>
        <v>0</v>
      </c>
      <c r="M414" s="461" t="s">
        <v>840</v>
      </c>
      <c r="N414" s="462" t="s">
        <v>860</v>
      </c>
      <c r="O414" s="463">
        <v>1</v>
      </c>
      <c r="P414" s="464" t="s">
        <v>812</v>
      </c>
      <c r="Q414" s="465"/>
      <c r="R414" s="2327" t="s">
        <v>813</v>
      </c>
      <c r="S414" s="466" t="s">
        <v>814</v>
      </c>
    </row>
    <row r="415" spans="1:19" s="70" customFormat="1" ht="117">
      <c r="A415" s="445">
        <v>318</v>
      </c>
      <c r="B415" s="446">
        <v>29</v>
      </c>
      <c r="C415" s="447" t="s">
        <v>865</v>
      </c>
      <c r="D415" s="448" t="s">
        <v>809</v>
      </c>
      <c r="E415" s="448" t="s">
        <v>47</v>
      </c>
      <c r="F415" s="448">
        <v>20</v>
      </c>
      <c r="G415" s="449">
        <v>80000</v>
      </c>
      <c r="H415" s="450">
        <f t="shared" si="31"/>
        <v>1600000</v>
      </c>
      <c r="I415" s="43">
        <v>20</v>
      </c>
      <c r="J415" s="451">
        <v>105000</v>
      </c>
      <c r="K415" s="451">
        <f t="shared" si="33"/>
        <v>2100000</v>
      </c>
      <c r="L415" s="30">
        <f t="shared" si="32"/>
        <v>25000</v>
      </c>
      <c r="M415" s="452" t="s">
        <v>810</v>
      </c>
      <c r="N415" s="456" t="s">
        <v>866</v>
      </c>
      <c r="O415" s="454">
        <v>1</v>
      </c>
      <c r="P415" s="46" t="s">
        <v>812</v>
      </c>
      <c r="Q415" s="85"/>
      <c r="R415" s="2326" t="s">
        <v>813</v>
      </c>
      <c r="S415" s="455" t="s">
        <v>814</v>
      </c>
    </row>
    <row r="416" spans="1:19" s="70" customFormat="1" ht="117">
      <c r="A416" s="445">
        <v>319</v>
      </c>
      <c r="B416" s="446">
        <v>30</v>
      </c>
      <c r="C416" s="447" t="s">
        <v>867</v>
      </c>
      <c r="D416" s="448" t="s">
        <v>809</v>
      </c>
      <c r="E416" s="448" t="s">
        <v>47</v>
      </c>
      <c r="F416" s="448">
        <v>20</v>
      </c>
      <c r="G416" s="449">
        <v>80000</v>
      </c>
      <c r="H416" s="450">
        <f t="shared" si="31"/>
        <v>1600000</v>
      </c>
      <c r="I416" s="43">
        <v>20</v>
      </c>
      <c r="J416" s="451">
        <v>120000</v>
      </c>
      <c r="K416" s="451">
        <f t="shared" si="33"/>
        <v>2400000</v>
      </c>
      <c r="L416" s="30">
        <f t="shared" si="32"/>
        <v>40000</v>
      </c>
      <c r="M416" s="452" t="s">
        <v>810</v>
      </c>
      <c r="N416" s="456" t="s">
        <v>866</v>
      </c>
      <c r="O416" s="454">
        <v>1</v>
      </c>
      <c r="P416" s="46" t="s">
        <v>812</v>
      </c>
      <c r="Q416" s="85"/>
      <c r="R416" s="2326" t="s">
        <v>813</v>
      </c>
      <c r="S416" s="455" t="s">
        <v>814</v>
      </c>
    </row>
    <row r="417" spans="1:19" s="70" customFormat="1" ht="117">
      <c r="A417" s="445">
        <v>320</v>
      </c>
      <c r="B417" s="446">
        <v>31</v>
      </c>
      <c r="C417" s="447" t="s">
        <v>868</v>
      </c>
      <c r="D417" s="448" t="s">
        <v>809</v>
      </c>
      <c r="E417" s="448" t="s">
        <v>47</v>
      </c>
      <c r="F417" s="448">
        <v>50</v>
      </c>
      <c r="G417" s="449">
        <v>140000</v>
      </c>
      <c r="H417" s="450">
        <f t="shared" si="31"/>
        <v>7000000</v>
      </c>
      <c r="I417" s="43">
        <v>50</v>
      </c>
      <c r="J417" s="451">
        <v>205000</v>
      </c>
      <c r="K417" s="451">
        <f t="shared" si="33"/>
        <v>10250000</v>
      </c>
      <c r="L417" s="30">
        <f t="shared" si="32"/>
        <v>65000</v>
      </c>
      <c r="M417" s="452" t="s">
        <v>810</v>
      </c>
      <c r="N417" s="456" t="s">
        <v>869</v>
      </c>
      <c r="O417" s="454">
        <v>1</v>
      </c>
      <c r="P417" s="46" t="s">
        <v>812</v>
      </c>
      <c r="Q417" s="85"/>
      <c r="R417" s="2326" t="s">
        <v>813</v>
      </c>
      <c r="S417" s="455" t="s">
        <v>814</v>
      </c>
    </row>
    <row r="418" spans="1:19" s="70" customFormat="1" ht="117">
      <c r="A418" s="445">
        <v>321</v>
      </c>
      <c r="B418" s="446">
        <v>32</v>
      </c>
      <c r="C418" s="447" t="s">
        <v>870</v>
      </c>
      <c r="D418" s="448" t="s">
        <v>809</v>
      </c>
      <c r="E418" s="448" t="s">
        <v>47</v>
      </c>
      <c r="F418" s="448">
        <v>100</v>
      </c>
      <c r="G418" s="449">
        <v>190000</v>
      </c>
      <c r="H418" s="450">
        <f t="shared" si="31"/>
        <v>19000000</v>
      </c>
      <c r="I418" s="43">
        <v>100</v>
      </c>
      <c r="J418" s="451">
        <v>220000</v>
      </c>
      <c r="K418" s="451">
        <f t="shared" si="33"/>
        <v>22000000</v>
      </c>
      <c r="L418" s="30">
        <f t="shared" si="32"/>
        <v>30000</v>
      </c>
      <c r="M418" s="452" t="s">
        <v>810</v>
      </c>
      <c r="N418" s="456" t="s">
        <v>871</v>
      </c>
      <c r="O418" s="454">
        <v>1</v>
      </c>
      <c r="P418" s="46" t="s">
        <v>812</v>
      </c>
      <c r="Q418" s="85"/>
      <c r="R418" s="2326" t="s">
        <v>813</v>
      </c>
      <c r="S418" s="455" t="s">
        <v>814</v>
      </c>
    </row>
    <row r="419" spans="1:19" s="70" customFormat="1" ht="117">
      <c r="A419" s="445">
        <v>322</v>
      </c>
      <c r="B419" s="446">
        <v>33</v>
      </c>
      <c r="C419" s="447" t="s">
        <v>872</v>
      </c>
      <c r="D419" s="448" t="s">
        <v>809</v>
      </c>
      <c r="E419" s="448" t="s">
        <v>47</v>
      </c>
      <c r="F419" s="448">
        <v>30</v>
      </c>
      <c r="G419" s="449">
        <v>140000</v>
      </c>
      <c r="H419" s="450">
        <f t="shared" si="31"/>
        <v>4200000</v>
      </c>
      <c r="I419" s="43">
        <v>30</v>
      </c>
      <c r="J419" s="451">
        <v>184000</v>
      </c>
      <c r="K419" s="451">
        <f t="shared" si="33"/>
        <v>5520000</v>
      </c>
      <c r="L419" s="30">
        <f t="shared" si="32"/>
        <v>44000</v>
      </c>
      <c r="M419" s="452" t="s">
        <v>810</v>
      </c>
      <c r="N419" s="456" t="s">
        <v>873</v>
      </c>
      <c r="O419" s="454">
        <v>1</v>
      </c>
      <c r="P419" s="46" t="s">
        <v>812</v>
      </c>
      <c r="Q419" s="85"/>
      <c r="R419" s="2326" t="s">
        <v>813</v>
      </c>
      <c r="S419" s="455" t="s">
        <v>814</v>
      </c>
    </row>
    <row r="420" spans="1:19" s="70" customFormat="1" ht="117">
      <c r="A420" s="445">
        <v>323</v>
      </c>
      <c r="B420" s="446">
        <v>34</v>
      </c>
      <c r="C420" s="447" t="s">
        <v>874</v>
      </c>
      <c r="D420" s="448" t="s">
        <v>809</v>
      </c>
      <c r="E420" s="448" t="s">
        <v>47</v>
      </c>
      <c r="F420" s="448">
        <v>30</v>
      </c>
      <c r="G420" s="449">
        <v>140000</v>
      </c>
      <c r="H420" s="450">
        <f t="shared" si="31"/>
        <v>4200000</v>
      </c>
      <c r="I420" s="43">
        <v>30</v>
      </c>
      <c r="J420" s="451">
        <v>185000</v>
      </c>
      <c r="K420" s="451">
        <f t="shared" si="33"/>
        <v>5550000</v>
      </c>
      <c r="L420" s="30">
        <f t="shared" si="32"/>
        <v>45000</v>
      </c>
      <c r="M420" s="452" t="s">
        <v>810</v>
      </c>
      <c r="N420" s="456" t="s">
        <v>875</v>
      </c>
      <c r="O420" s="454">
        <v>1</v>
      </c>
      <c r="P420" s="46" t="s">
        <v>812</v>
      </c>
      <c r="Q420" s="85"/>
      <c r="R420" s="2326" t="s">
        <v>813</v>
      </c>
      <c r="S420" s="455" t="s">
        <v>814</v>
      </c>
    </row>
    <row r="421" spans="1:19" s="70" customFormat="1" ht="117">
      <c r="A421" s="445">
        <v>324</v>
      </c>
      <c r="B421" s="446">
        <v>35</v>
      </c>
      <c r="C421" s="468" t="s">
        <v>876</v>
      </c>
      <c r="D421" s="446" t="s">
        <v>809</v>
      </c>
      <c r="E421" s="446" t="s">
        <v>47</v>
      </c>
      <c r="F421" s="446">
        <v>5</v>
      </c>
      <c r="G421" s="469">
        <v>30000</v>
      </c>
      <c r="H421" s="450">
        <f t="shared" si="31"/>
        <v>150000</v>
      </c>
      <c r="I421" s="43">
        <v>5</v>
      </c>
      <c r="J421" s="451">
        <v>42000</v>
      </c>
      <c r="K421" s="451">
        <f t="shared" si="33"/>
        <v>210000</v>
      </c>
      <c r="L421" s="30">
        <f t="shared" si="32"/>
        <v>12000</v>
      </c>
      <c r="M421" s="470" t="s">
        <v>810</v>
      </c>
      <c r="N421" s="456" t="s">
        <v>877</v>
      </c>
      <c r="O421" s="454">
        <v>1</v>
      </c>
      <c r="P421" s="46" t="s">
        <v>812</v>
      </c>
      <c r="Q421" s="85"/>
      <c r="R421" s="2326" t="s">
        <v>813</v>
      </c>
      <c r="S421" s="455" t="s">
        <v>814</v>
      </c>
    </row>
    <row r="422" spans="1:19" s="70" customFormat="1" ht="117">
      <c r="A422" s="445">
        <v>325</v>
      </c>
      <c r="B422" s="446">
        <v>36</v>
      </c>
      <c r="C422" s="468" t="s">
        <v>878</v>
      </c>
      <c r="D422" s="446" t="s">
        <v>809</v>
      </c>
      <c r="E422" s="446" t="s">
        <v>47</v>
      </c>
      <c r="F422" s="446">
        <v>5</v>
      </c>
      <c r="G422" s="469">
        <v>200000</v>
      </c>
      <c r="H422" s="450">
        <f t="shared" si="31"/>
        <v>1000000</v>
      </c>
      <c r="I422" s="43">
        <v>5</v>
      </c>
      <c r="J422" s="451">
        <v>290000</v>
      </c>
      <c r="K422" s="451">
        <f t="shared" si="33"/>
        <v>1450000</v>
      </c>
      <c r="L422" s="30">
        <f t="shared" si="32"/>
        <v>90000</v>
      </c>
      <c r="M422" s="470" t="s">
        <v>810</v>
      </c>
      <c r="N422" s="456" t="s">
        <v>871</v>
      </c>
      <c r="O422" s="454">
        <v>1</v>
      </c>
      <c r="P422" s="46" t="s">
        <v>812</v>
      </c>
      <c r="Q422" s="85"/>
      <c r="R422" s="2326" t="s">
        <v>813</v>
      </c>
      <c r="S422" s="455" t="s">
        <v>814</v>
      </c>
    </row>
    <row r="423" spans="1:19" s="70" customFormat="1" ht="117">
      <c r="A423" s="445">
        <v>326</v>
      </c>
      <c r="B423" s="446">
        <v>37</v>
      </c>
      <c r="C423" s="468" t="s">
        <v>879</v>
      </c>
      <c r="D423" s="446" t="s">
        <v>809</v>
      </c>
      <c r="E423" s="446" t="s">
        <v>47</v>
      </c>
      <c r="F423" s="446">
        <v>5</v>
      </c>
      <c r="G423" s="469">
        <v>200000</v>
      </c>
      <c r="H423" s="450">
        <f t="shared" si="31"/>
        <v>1000000</v>
      </c>
      <c r="I423" s="43">
        <v>5</v>
      </c>
      <c r="J423" s="451">
        <v>265000</v>
      </c>
      <c r="K423" s="451">
        <f t="shared" si="33"/>
        <v>1325000</v>
      </c>
      <c r="L423" s="30">
        <f t="shared" si="32"/>
        <v>65000</v>
      </c>
      <c r="M423" s="470" t="s">
        <v>810</v>
      </c>
      <c r="N423" s="456" t="s">
        <v>873</v>
      </c>
      <c r="O423" s="454">
        <v>1</v>
      </c>
      <c r="P423" s="46" t="s">
        <v>812</v>
      </c>
      <c r="Q423" s="85"/>
      <c r="R423" s="2326" t="s">
        <v>813</v>
      </c>
      <c r="S423" s="455" t="s">
        <v>814</v>
      </c>
    </row>
    <row r="424" spans="1:19" s="70" customFormat="1" ht="117">
      <c r="A424" s="445">
        <v>327</v>
      </c>
      <c r="B424" s="446">
        <v>38</v>
      </c>
      <c r="C424" s="468" t="s">
        <v>880</v>
      </c>
      <c r="D424" s="446" t="s">
        <v>809</v>
      </c>
      <c r="E424" s="446" t="s">
        <v>47</v>
      </c>
      <c r="F424" s="446">
        <v>5</v>
      </c>
      <c r="G424" s="469">
        <v>150000</v>
      </c>
      <c r="H424" s="450">
        <f t="shared" si="31"/>
        <v>750000</v>
      </c>
      <c r="I424" s="43">
        <v>5</v>
      </c>
      <c r="J424" s="451">
        <v>215000</v>
      </c>
      <c r="K424" s="451">
        <f t="shared" si="33"/>
        <v>1075000</v>
      </c>
      <c r="L424" s="30">
        <f t="shared" si="32"/>
        <v>65000</v>
      </c>
      <c r="M424" s="470" t="s">
        <v>810</v>
      </c>
      <c r="N424" s="456" t="s">
        <v>875</v>
      </c>
      <c r="O424" s="454">
        <v>1</v>
      </c>
      <c r="P424" s="46" t="s">
        <v>812</v>
      </c>
      <c r="Q424" s="85"/>
      <c r="R424" s="2326" t="s">
        <v>813</v>
      </c>
      <c r="S424" s="455" t="s">
        <v>814</v>
      </c>
    </row>
    <row r="425" spans="1:19" s="70" customFormat="1" ht="117">
      <c r="A425" s="445">
        <v>328</v>
      </c>
      <c r="B425" s="446">
        <v>39</v>
      </c>
      <c r="C425" s="468" t="s">
        <v>881</v>
      </c>
      <c r="D425" s="446" t="s">
        <v>809</v>
      </c>
      <c r="E425" s="446" t="s">
        <v>47</v>
      </c>
      <c r="F425" s="446">
        <v>5</v>
      </c>
      <c r="G425" s="469">
        <v>11000</v>
      </c>
      <c r="H425" s="450">
        <f t="shared" si="31"/>
        <v>55000</v>
      </c>
      <c r="I425" s="43">
        <v>5</v>
      </c>
      <c r="J425" s="451">
        <v>12000</v>
      </c>
      <c r="K425" s="451">
        <f t="shared" si="33"/>
        <v>60000</v>
      </c>
      <c r="L425" s="30">
        <f t="shared" si="32"/>
        <v>1000</v>
      </c>
      <c r="M425" s="452" t="s">
        <v>840</v>
      </c>
      <c r="N425" s="456" t="s">
        <v>860</v>
      </c>
      <c r="O425" s="454">
        <v>1</v>
      </c>
      <c r="P425" s="46" t="s">
        <v>812</v>
      </c>
      <c r="Q425" s="85"/>
      <c r="R425" s="2326" t="s">
        <v>813</v>
      </c>
      <c r="S425" s="455" t="s">
        <v>814</v>
      </c>
    </row>
    <row r="426" spans="1:19" s="70" customFormat="1" ht="117">
      <c r="A426" s="445">
        <v>329</v>
      </c>
      <c r="B426" s="446">
        <v>40</v>
      </c>
      <c r="C426" s="468" t="s">
        <v>882</v>
      </c>
      <c r="D426" s="446" t="s">
        <v>809</v>
      </c>
      <c r="E426" s="446" t="s">
        <v>47</v>
      </c>
      <c r="F426" s="446">
        <v>5</v>
      </c>
      <c r="G426" s="469">
        <v>11000</v>
      </c>
      <c r="H426" s="450">
        <f t="shared" si="31"/>
        <v>55000</v>
      </c>
      <c r="I426" s="43">
        <v>5</v>
      </c>
      <c r="J426" s="451">
        <v>12000</v>
      </c>
      <c r="K426" s="451">
        <f t="shared" si="33"/>
        <v>60000</v>
      </c>
      <c r="L426" s="30">
        <f t="shared" si="32"/>
        <v>1000</v>
      </c>
      <c r="M426" s="452" t="s">
        <v>840</v>
      </c>
      <c r="N426" s="456" t="s">
        <v>860</v>
      </c>
      <c r="O426" s="454">
        <v>1</v>
      </c>
      <c r="P426" s="46" t="s">
        <v>812</v>
      </c>
      <c r="Q426" s="85"/>
      <c r="R426" s="2326" t="s">
        <v>813</v>
      </c>
      <c r="S426" s="455" t="s">
        <v>814</v>
      </c>
    </row>
    <row r="427" spans="1:19" s="70" customFormat="1" ht="117">
      <c r="A427" s="445">
        <v>330</v>
      </c>
      <c r="B427" s="446">
        <v>41</v>
      </c>
      <c r="C427" s="468" t="s">
        <v>883</v>
      </c>
      <c r="D427" s="446" t="s">
        <v>809</v>
      </c>
      <c r="E427" s="446" t="s">
        <v>47</v>
      </c>
      <c r="F427" s="446">
        <v>1</v>
      </c>
      <c r="G427" s="469">
        <v>315000</v>
      </c>
      <c r="H427" s="450">
        <f t="shared" si="31"/>
        <v>315000</v>
      </c>
      <c r="I427" s="43">
        <v>1</v>
      </c>
      <c r="J427" s="451">
        <v>345000</v>
      </c>
      <c r="K427" s="451">
        <f t="shared" si="33"/>
        <v>345000</v>
      </c>
      <c r="L427" s="30">
        <f t="shared" si="32"/>
        <v>30000</v>
      </c>
      <c r="M427" s="452" t="s">
        <v>840</v>
      </c>
      <c r="N427" s="456" t="s">
        <v>884</v>
      </c>
      <c r="O427" s="454">
        <v>1</v>
      </c>
      <c r="P427" s="46" t="s">
        <v>812</v>
      </c>
      <c r="Q427" s="85"/>
      <c r="R427" s="2326" t="s">
        <v>813</v>
      </c>
      <c r="S427" s="455" t="s">
        <v>814</v>
      </c>
    </row>
    <row r="428" spans="1:19" s="70" customFormat="1" ht="117">
      <c r="A428" s="445">
        <v>331</v>
      </c>
      <c r="B428" s="446">
        <v>42</v>
      </c>
      <c r="C428" s="468" t="s">
        <v>885</v>
      </c>
      <c r="D428" s="446" t="s">
        <v>809</v>
      </c>
      <c r="E428" s="446" t="s">
        <v>47</v>
      </c>
      <c r="F428" s="446">
        <v>1</v>
      </c>
      <c r="G428" s="469">
        <v>230000</v>
      </c>
      <c r="H428" s="450">
        <f t="shared" si="31"/>
        <v>230000</v>
      </c>
      <c r="I428" s="43">
        <v>1</v>
      </c>
      <c r="J428" s="451">
        <v>255000</v>
      </c>
      <c r="K428" s="451">
        <f t="shared" si="33"/>
        <v>255000</v>
      </c>
      <c r="L428" s="30">
        <f t="shared" si="32"/>
        <v>25000</v>
      </c>
      <c r="M428" s="452" t="s">
        <v>840</v>
      </c>
      <c r="N428" s="456" t="s">
        <v>886</v>
      </c>
      <c r="O428" s="454">
        <v>1</v>
      </c>
      <c r="P428" s="46" t="s">
        <v>812</v>
      </c>
      <c r="Q428" s="85"/>
      <c r="R428" s="2326" t="s">
        <v>813</v>
      </c>
      <c r="S428" s="455" t="s">
        <v>814</v>
      </c>
    </row>
    <row r="429" spans="1:19" s="70" customFormat="1" ht="117">
      <c r="A429" s="445">
        <v>332</v>
      </c>
      <c r="B429" s="446">
        <v>43</v>
      </c>
      <c r="C429" s="468" t="s">
        <v>887</v>
      </c>
      <c r="D429" s="446" t="s">
        <v>809</v>
      </c>
      <c r="E429" s="446" t="s">
        <v>47</v>
      </c>
      <c r="F429" s="446">
        <v>1</v>
      </c>
      <c r="G429" s="469">
        <v>150000</v>
      </c>
      <c r="H429" s="450">
        <f t="shared" si="31"/>
        <v>150000</v>
      </c>
      <c r="I429" s="43">
        <v>1</v>
      </c>
      <c r="J429" s="451">
        <v>225000</v>
      </c>
      <c r="K429" s="451">
        <f t="shared" si="33"/>
        <v>225000</v>
      </c>
      <c r="L429" s="30">
        <f t="shared" si="32"/>
        <v>75000</v>
      </c>
      <c r="M429" s="470" t="s">
        <v>810</v>
      </c>
      <c r="N429" s="456" t="s">
        <v>888</v>
      </c>
      <c r="O429" s="454">
        <v>1</v>
      </c>
      <c r="P429" s="46" t="s">
        <v>812</v>
      </c>
      <c r="Q429" s="85"/>
      <c r="R429" s="2326" t="s">
        <v>813</v>
      </c>
      <c r="S429" s="455" t="s">
        <v>814</v>
      </c>
    </row>
    <row r="430" spans="1:19" s="70" customFormat="1" ht="117">
      <c r="A430" s="445">
        <v>333</v>
      </c>
      <c r="B430" s="446">
        <v>44</v>
      </c>
      <c r="C430" s="468" t="s">
        <v>889</v>
      </c>
      <c r="D430" s="446" t="s">
        <v>809</v>
      </c>
      <c r="E430" s="446" t="s">
        <v>47</v>
      </c>
      <c r="F430" s="446">
        <v>1</v>
      </c>
      <c r="G430" s="469">
        <v>130000</v>
      </c>
      <c r="H430" s="450">
        <f t="shared" si="31"/>
        <v>130000</v>
      </c>
      <c r="I430" s="43">
        <v>1</v>
      </c>
      <c r="J430" s="451">
        <v>165000</v>
      </c>
      <c r="K430" s="451">
        <f t="shared" si="33"/>
        <v>165000</v>
      </c>
      <c r="L430" s="30">
        <f t="shared" si="32"/>
        <v>35000</v>
      </c>
      <c r="M430" s="470" t="s">
        <v>810</v>
      </c>
      <c r="N430" s="456" t="s">
        <v>888</v>
      </c>
      <c r="O430" s="454">
        <v>1</v>
      </c>
      <c r="P430" s="46" t="s">
        <v>812</v>
      </c>
      <c r="Q430" s="85"/>
      <c r="R430" s="2326" t="s">
        <v>813</v>
      </c>
      <c r="S430" s="455" t="s">
        <v>814</v>
      </c>
    </row>
    <row r="431" spans="1:19" s="70" customFormat="1" ht="117">
      <c r="A431" s="445">
        <v>334</v>
      </c>
      <c r="B431" s="446">
        <v>45</v>
      </c>
      <c r="C431" s="468" t="s">
        <v>890</v>
      </c>
      <c r="D431" s="446" t="s">
        <v>809</v>
      </c>
      <c r="E431" s="446" t="s">
        <v>47</v>
      </c>
      <c r="F431" s="446">
        <v>1</v>
      </c>
      <c r="G431" s="469">
        <v>100000</v>
      </c>
      <c r="H431" s="450">
        <f t="shared" si="31"/>
        <v>100000</v>
      </c>
      <c r="I431" s="43">
        <v>1</v>
      </c>
      <c r="J431" s="451">
        <v>160000</v>
      </c>
      <c r="K431" s="451">
        <f t="shared" si="33"/>
        <v>160000</v>
      </c>
      <c r="L431" s="30">
        <f t="shared" si="32"/>
        <v>60000</v>
      </c>
      <c r="M431" s="470" t="s">
        <v>810</v>
      </c>
      <c r="N431" s="456" t="s">
        <v>845</v>
      </c>
      <c r="O431" s="454">
        <v>1</v>
      </c>
      <c r="P431" s="46" t="s">
        <v>812</v>
      </c>
      <c r="Q431" s="85"/>
      <c r="R431" s="2326" t="s">
        <v>813</v>
      </c>
      <c r="S431" s="455" t="s">
        <v>814</v>
      </c>
    </row>
    <row r="432" spans="1:19" s="70" customFormat="1" ht="117">
      <c r="A432" s="445">
        <v>335</v>
      </c>
      <c r="B432" s="446">
        <v>46</v>
      </c>
      <c r="C432" s="468" t="s">
        <v>891</v>
      </c>
      <c r="D432" s="446" t="s">
        <v>809</v>
      </c>
      <c r="E432" s="446" t="s">
        <v>47</v>
      </c>
      <c r="F432" s="446">
        <v>1</v>
      </c>
      <c r="G432" s="469">
        <v>90000</v>
      </c>
      <c r="H432" s="450">
        <f t="shared" si="31"/>
        <v>90000</v>
      </c>
      <c r="I432" s="43">
        <v>1</v>
      </c>
      <c r="J432" s="451">
        <v>115000</v>
      </c>
      <c r="K432" s="451">
        <f t="shared" si="33"/>
        <v>115000</v>
      </c>
      <c r="L432" s="30">
        <f t="shared" si="32"/>
        <v>25000</v>
      </c>
      <c r="M432" s="470" t="s">
        <v>810</v>
      </c>
      <c r="N432" s="456" t="s">
        <v>845</v>
      </c>
      <c r="O432" s="454">
        <v>1</v>
      </c>
      <c r="P432" s="46" t="s">
        <v>812</v>
      </c>
      <c r="Q432" s="85"/>
      <c r="R432" s="2326" t="s">
        <v>813</v>
      </c>
      <c r="S432" s="455" t="s">
        <v>814</v>
      </c>
    </row>
    <row r="433" spans="1:31" s="70" customFormat="1" ht="117">
      <c r="A433" s="471">
        <v>336</v>
      </c>
      <c r="B433" s="472">
        <v>47</v>
      </c>
      <c r="C433" s="473" t="s">
        <v>892</v>
      </c>
      <c r="D433" s="472" t="s">
        <v>809</v>
      </c>
      <c r="E433" s="472" t="s">
        <v>47</v>
      </c>
      <c r="F433" s="472">
        <v>1</v>
      </c>
      <c r="G433" s="474">
        <v>80000</v>
      </c>
      <c r="H433" s="475">
        <f t="shared" si="31"/>
        <v>80000</v>
      </c>
      <c r="I433" s="99">
        <v>1</v>
      </c>
      <c r="J433" s="476">
        <v>90000</v>
      </c>
      <c r="K433" s="476">
        <f t="shared" si="33"/>
        <v>90000</v>
      </c>
      <c r="L433" s="30">
        <f t="shared" si="32"/>
        <v>10000</v>
      </c>
      <c r="M433" s="477" t="s">
        <v>840</v>
      </c>
      <c r="N433" s="478" t="s">
        <v>860</v>
      </c>
      <c r="O433" s="479">
        <v>1</v>
      </c>
      <c r="P433" s="265" t="s">
        <v>812</v>
      </c>
      <c r="Q433" s="85"/>
      <c r="R433" s="2328" t="s">
        <v>813</v>
      </c>
      <c r="S433" s="480" t="s">
        <v>814</v>
      </c>
    </row>
    <row r="434" spans="1:31" s="70" customFormat="1">
      <c r="A434" s="59"/>
      <c r="B434" s="59"/>
      <c r="C434" s="481" t="s">
        <v>893</v>
      </c>
      <c r="D434" s="59"/>
      <c r="E434" s="59"/>
      <c r="F434" s="59"/>
      <c r="G434" s="59"/>
      <c r="H434" s="2290">
        <f>+SUM(H387:H433)</f>
        <v>142487000</v>
      </c>
      <c r="I434" s="482"/>
      <c r="J434" s="482"/>
      <c r="K434" s="482">
        <f>+SUM(K387:K433)</f>
        <v>190037000</v>
      </c>
      <c r="L434" s="482"/>
      <c r="M434" s="59"/>
      <c r="N434" s="483"/>
      <c r="O434" s="59"/>
      <c r="P434" s="21"/>
      <c r="Q434" s="21"/>
      <c r="R434" s="592"/>
      <c r="S434" s="484"/>
    </row>
    <row r="435" spans="1:31" s="70" customFormat="1">
      <c r="B435" s="2120" t="s">
        <v>894</v>
      </c>
      <c r="C435" s="2120"/>
      <c r="D435" s="2120"/>
      <c r="E435" s="2120"/>
      <c r="F435" s="2120"/>
      <c r="G435" s="2120"/>
      <c r="H435" s="2120"/>
      <c r="I435" s="2120"/>
      <c r="J435" s="2120"/>
      <c r="K435" s="2120"/>
      <c r="L435" s="2120"/>
      <c r="M435" s="2120"/>
      <c r="N435" s="2120"/>
      <c r="O435" s="2120"/>
      <c r="P435" s="2120"/>
      <c r="Q435" s="2120"/>
      <c r="R435" s="2120"/>
      <c r="S435" s="485"/>
    </row>
    <row r="436" spans="1:31" s="70" customFormat="1">
      <c r="R436" s="2329"/>
      <c r="S436" s="485"/>
    </row>
    <row r="438" spans="1:31">
      <c r="A438" s="71" t="s">
        <v>895</v>
      </c>
    </row>
    <row r="439" spans="1:31" s="12" customFormat="1">
      <c r="A439" s="2092" t="s">
        <v>5</v>
      </c>
      <c r="B439" s="2092" t="s">
        <v>6</v>
      </c>
      <c r="C439" s="2094" t="s">
        <v>7</v>
      </c>
      <c r="D439" s="2096" t="s">
        <v>8</v>
      </c>
      <c r="E439" s="2092" t="s">
        <v>9</v>
      </c>
      <c r="F439" s="2098" t="s">
        <v>10</v>
      </c>
      <c r="G439" s="2098"/>
      <c r="H439" s="2098"/>
      <c r="I439" s="2098" t="s">
        <v>11</v>
      </c>
      <c r="J439" s="2098"/>
      <c r="K439" s="2098"/>
      <c r="L439" s="2099" t="s">
        <v>12</v>
      </c>
      <c r="M439" s="9"/>
      <c r="N439" s="9"/>
      <c r="O439" s="9"/>
      <c r="P439" s="2101" t="s">
        <v>13</v>
      </c>
      <c r="Q439" s="2265" t="s">
        <v>4740</v>
      </c>
      <c r="R439" s="2319" t="s">
        <v>4754</v>
      </c>
      <c r="S439" s="2267" t="s">
        <v>4767</v>
      </c>
      <c r="T439" s="2268"/>
      <c r="U439" s="2268"/>
      <c r="V439" s="2268"/>
      <c r="W439" s="2269"/>
      <c r="X439" s="2267" t="s">
        <v>4768</v>
      </c>
      <c r="Y439" s="2268"/>
      <c r="Z439" s="2268"/>
      <c r="AA439" s="2268"/>
      <c r="AB439" s="2268"/>
      <c r="AC439" s="2268"/>
      <c r="AD439" s="2268"/>
      <c r="AE439" s="2269"/>
    </row>
    <row r="440" spans="1:31" s="16" customFormat="1" ht="27">
      <c r="A440" s="2093"/>
      <c r="B440" s="2093"/>
      <c r="C440" s="2095"/>
      <c r="D440" s="2097"/>
      <c r="E440" s="2093"/>
      <c r="F440" s="13" t="s">
        <v>14</v>
      </c>
      <c r="G440" s="13" t="s">
        <v>15</v>
      </c>
      <c r="H440" s="13" t="s">
        <v>16</v>
      </c>
      <c r="I440" s="13" t="s">
        <v>14</v>
      </c>
      <c r="J440" s="13" t="s">
        <v>15</v>
      </c>
      <c r="K440" s="13" t="s">
        <v>16</v>
      </c>
      <c r="L440" s="2100"/>
      <c r="M440" s="14" t="s">
        <v>17</v>
      </c>
      <c r="N440" s="14" t="s">
        <v>18</v>
      </c>
      <c r="O440" s="14" t="s">
        <v>19</v>
      </c>
      <c r="P440" s="2102"/>
      <c r="Q440" s="2266"/>
      <c r="R440" s="2320"/>
      <c r="S440" s="2263" t="s">
        <v>4755</v>
      </c>
      <c r="T440" s="2263" t="s">
        <v>4756</v>
      </c>
      <c r="U440" s="2263" t="s">
        <v>4757</v>
      </c>
      <c r="V440" s="2263" t="s">
        <v>4758</v>
      </c>
      <c r="W440" s="2263" t="s">
        <v>4759</v>
      </c>
      <c r="X440" s="2264" t="s">
        <v>4760</v>
      </c>
      <c r="Y440" s="2264" t="s">
        <v>4761</v>
      </c>
      <c r="Z440" s="2264" t="s">
        <v>4762</v>
      </c>
      <c r="AA440" s="2264" t="s">
        <v>4763</v>
      </c>
      <c r="AB440" s="2264" t="s">
        <v>4764</v>
      </c>
      <c r="AC440" s="2264" t="s">
        <v>4765</v>
      </c>
      <c r="AD440" s="2264" t="s">
        <v>4766</v>
      </c>
      <c r="AE440" s="2264" t="s">
        <v>4755</v>
      </c>
    </row>
    <row r="441" spans="1:31" s="24" customFormat="1">
      <c r="A441" s="17">
        <v>1</v>
      </c>
      <c r="B441" s="17">
        <v>2</v>
      </c>
      <c r="C441" s="18">
        <v>3</v>
      </c>
      <c r="D441" s="19">
        <v>4</v>
      </c>
      <c r="E441" s="17">
        <v>5</v>
      </c>
      <c r="F441" s="13">
        <v>6</v>
      </c>
      <c r="G441" s="20">
        <v>7</v>
      </c>
      <c r="H441" s="20">
        <v>8</v>
      </c>
      <c r="I441" s="20"/>
      <c r="J441" s="20">
        <v>9</v>
      </c>
      <c r="K441" s="20">
        <v>10</v>
      </c>
      <c r="L441" s="20">
        <v>11</v>
      </c>
      <c r="M441" s="19">
        <v>9</v>
      </c>
      <c r="N441" s="19">
        <v>10</v>
      </c>
      <c r="O441" s="19">
        <v>11</v>
      </c>
      <c r="P441" s="21">
        <v>12</v>
      </c>
      <c r="Q441" s="22"/>
      <c r="R441" s="2321"/>
      <c r="S441" s="23"/>
    </row>
    <row r="442" spans="1:31" ht="18">
      <c r="A442" s="486">
        <v>337</v>
      </c>
      <c r="B442" s="486">
        <v>1</v>
      </c>
      <c r="C442" s="487" t="s">
        <v>896</v>
      </c>
      <c r="D442" s="486" t="s">
        <v>897</v>
      </c>
      <c r="E442" s="486" t="s">
        <v>47</v>
      </c>
      <c r="F442" s="488">
        <v>150</v>
      </c>
      <c r="G442" s="489">
        <v>1040000</v>
      </c>
      <c r="H442" s="489">
        <f>F442*G442</f>
        <v>156000000</v>
      </c>
      <c r="I442" s="277">
        <v>150</v>
      </c>
      <c r="J442" s="278">
        <v>1050000</v>
      </c>
      <c r="K442" s="278">
        <f>J442*I442</f>
        <v>157500000</v>
      </c>
      <c r="L442" s="279">
        <f t="shared" ref="L442:L471" si="34">J442-G442</f>
        <v>10000</v>
      </c>
      <c r="M442" s="490" t="s">
        <v>898</v>
      </c>
      <c r="N442" s="490" t="s">
        <v>899</v>
      </c>
      <c r="O442" s="490" t="s">
        <v>900</v>
      </c>
      <c r="P442" s="400" t="s">
        <v>901</v>
      </c>
      <c r="Q442" s="115"/>
      <c r="R442" s="74"/>
      <c r="S442" s="71"/>
    </row>
    <row r="443" spans="1:31" ht="18">
      <c r="A443" s="491">
        <v>338</v>
      </c>
      <c r="B443" s="491">
        <v>2</v>
      </c>
      <c r="C443" s="492" t="s">
        <v>902</v>
      </c>
      <c r="D443" s="491" t="s">
        <v>897</v>
      </c>
      <c r="E443" s="491" t="s">
        <v>47</v>
      </c>
      <c r="F443" s="493">
        <v>150</v>
      </c>
      <c r="G443" s="494">
        <v>1540000</v>
      </c>
      <c r="H443" s="494">
        <f t="shared" ref="H443:H471" si="35">F443*G443</f>
        <v>231000000</v>
      </c>
      <c r="I443" s="287">
        <v>150</v>
      </c>
      <c r="J443" s="495">
        <v>1550000</v>
      </c>
      <c r="K443" s="164">
        <f t="shared" ref="K443:K471" si="36">J443*I443</f>
        <v>232500000</v>
      </c>
      <c r="L443" s="288">
        <f t="shared" si="34"/>
        <v>10000</v>
      </c>
      <c r="M443" s="496" t="s">
        <v>898</v>
      </c>
      <c r="N443" s="496" t="s">
        <v>903</v>
      </c>
      <c r="O443" s="496" t="s">
        <v>900</v>
      </c>
      <c r="P443" s="403" t="s">
        <v>901</v>
      </c>
      <c r="Q443" s="115"/>
      <c r="R443" s="74"/>
      <c r="S443" s="71"/>
    </row>
    <row r="444" spans="1:31" ht="18">
      <c r="A444" s="491">
        <v>339</v>
      </c>
      <c r="B444" s="491">
        <v>3</v>
      </c>
      <c r="C444" s="492" t="s">
        <v>904</v>
      </c>
      <c r="D444" s="491" t="s">
        <v>897</v>
      </c>
      <c r="E444" s="491" t="s">
        <v>47</v>
      </c>
      <c r="F444" s="493">
        <v>150</v>
      </c>
      <c r="G444" s="494">
        <v>1590000</v>
      </c>
      <c r="H444" s="494">
        <f t="shared" si="35"/>
        <v>238500000</v>
      </c>
      <c r="I444" s="287">
        <v>150</v>
      </c>
      <c r="J444" s="495">
        <v>1600000</v>
      </c>
      <c r="K444" s="164">
        <f t="shared" si="36"/>
        <v>240000000</v>
      </c>
      <c r="L444" s="288">
        <f t="shared" si="34"/>
        <v>10000</v>
      </c>
      <c r="M444" s="496" t="s">
        <v>898</v>
      </c>
      <c r="N444" s="496" t="s">
        <v>905</v>
      </c>
      <c r="O444" s="496" t="s">
        <v>900</v>
      </c>
      <c r="P444" s="403" t="s">
        <v>901</v>
      </c>
      <c r="Q444" s="115"/>
      <c r="R444" s="74"/>
      <c r="S444" s="71"/>
    </row>
    <row r="445" spans="1:31" ht="18">
      <c r="A445" s="491">
        <v>340</v>
      </c>
      <c r="B445" s="491">
        <v>4</v>
      </c>
      <c r="C445" s="492" t="s">
        <v>906</v>
      </c>
      <c r="D445" s="491" t="s">
        <v>897</v>
      </c>
      <c r="E445" s="491" t="s">
        <v>47</v>
      </c>
      <c r="F445" s="493">
        <v>100</v>
      </c>
      <c r="G445" s="494">
        <v>2240000</v>
      </c>
      <c r="H445" s="494">
        <f t="shared" si="35"/>
        <v>224000000</v>
      </c>
      <c r="I445" s="287">
        <v>100</v>
      </c>
      <c r="J445" s="495">
        <v>2250000</v>
      </c>
      <c r="K445" s="164">
        <f t="shared" si="36"/>
        <v>225000000</v>
      </c>
      <c r="L445" s="288">
        <f t="shared" si="34"/>
        <v>10000</v>
      </c>
      <c r="M445" s="496" t="s">
        <v>898</v>
      </c>
      <c r="N445" s="496" t="s">
        <v>907</v>
      </c>
      <c r="O445" s="496" t="s">
        <v>900</v>
      </c>
      <c r="P445" s="403" t="s">
        <v>901</v>
      </c>
      <c r="Q445" s="115"/>
      <c r="R445" s="74"/>
      <c r="S445" s="71"/>
    </row>
    <row r="446" spans="1:31" ht="18">
      <c r="A446" s="491">
        <v>341</v>
      </c>
      <c r="B446" s="491">
        <v>5</v>
      </c>
      <c r="C446" s="492" t="s">
        <v>908</v>
      </c>
      <c r="D446" s="491" t="s">
        <v>897</v>
      </c>
      <c r="E446" s="491" t="s">
        <v>47</v>
      </c>
      <c r="F446" s="493">
        <v>100</v>
      </c>
      <c r="G446" s="494">
        <v>2980000</v>
      </c>
      <c r="H446" s="494">
        <f t="shared" si="35"/>
        <v>298000000</v>
      </c>
      <c r="I446" s="287">
        <v>100</v>
      </c>
      <c r="J446" s="495">
        <v>3000000</v>
      </c>
      <c r="K446" s="164">
        <f t="shared" si="36"/>
        <v>300000000</v>
      </c>
      <c r="L446" s="288">
        <f t="shared" si="34"/>
        <v>20000</v>
      </c>
      <c r="M446" s="496" t="s">
        <v>898</v>
      </c>
      <c r="N446" s="496" t="s">
        <v>909</v>
      </c>
      <c r="O446" s="496" t="s">
        <v>900</v>
      </c>
      <c r="P446" s="403" t="s">
        <v>901</v>
      </c>
      <c r="Q446" s="115"/>
      <c r="R446" s="74"/>
      <c r="S446" s="71"/>
    </row>
    <row r="447" spans="1:31" ht="18">
      <c r="A447" s="491">
        <v>342</v>
      </c>
      <c r="B447" s="491">
        <v>6</v>
      </c>
      <c r="C447" s="492" t="s">
        <v>910</v>
      </c>
      <c r="D447" s="491" t="s">
        <v>897</v>
      </c>
      <c r="E447" s="491" t="s">
        <v>47</v>
      </c>
      <c r="F447" s="493">
        <v>100</v>
      </c>
      <c r="G447" s="494">
        <v>3490000</v>
      </c>
      <c r="H447" s="494">
        <f t="shared" si="35"/>
        <v>349000000</v>
      </c>
      <c r="I447" s="287">
        <v>100</v>
      </c>
      <c r="J447" s="495">
        <v>3500000</v>
      </c>
      <c r="K447" s="164">
        <f t="shared" si="36"/>
        <v>350000000</v>
      </c>
      <c r="L447" s="288">
        <f t="shared" si="34"/>
        <v>10000</v>
      </c>
      <c r="M447" s="496" t="s">
        <v>898</v>
      </c>
      <c r="N447" s="496" t="s">
        <v>911</v>
      </c>
      <c r="O447" s="496" t="s">
        <v>900</v>
      </c>
      <c r="P447" s="403" t="s">
        <v>901</v>
      </c>
      <c r="Q447" s="115"/>
      <c r="R447" s="74"/>
      <c r="S447" s="71"/>
    </row>
    <row r="448" spans="1:31" ht="18">
      <c r="A448" s="491">
        <v>343</v>
      </c>
      <c r="B448" s="491">
        <v>7</v>
      </c>
      <c r="C448" s="492" t="s">
        <v>912</v>
      </c>
      <c r="D448" s="491" t="s">
        <v>897</v>
      </c>
      <c r="E448" s="491" t="s">
        <v>47</v>
      </c>
      <c r="F448" s="493">
        <v>100</v>
      </c>
      <c r="G448" s="494">
        <v>3590000</v>
      </c>
      <c r="H448" s="494">
        <f t="shared" si="35"/>
        <v>359000000</v>
      </c>
      <c r="I448" s="287">
        <v>100</v>
      </c>
      <c r="J448" s="495">
        <v>3600000</v>
      </c>
      <c r="K448" s="164">
        <f t="shared" si="36"/>
        <v>360000000</v>
      </c>
      <c r="L448" s="288">
        <f t="shared" si="34"/>
        <v>10000</v>
      </c>
      <c r="M448" s="496" t="s">
        <v>898</v>
      </c>
      <c r="N448" s="496" t="s">
        <v>913</v>
      </c>
      <c r="O448" s="496" t="s">
        <v>900</v>
      </c>
      <c r="P448" s="403" t="s">
        <v>901</v>
      </c>
      <c r="Q448" s="115"/>
      <c r="R448" s="74"/>
      <c r="S448" s="71"/>
    </row>
    <row r="449" spans="1:19" ht="18">
      <c r="A449" s="491">
        <v>344</v>
      </c>
      <c r="B449" s="491">
        <v>8</v>
      </c>
      <c r="C449" s="492" t="s">
        <v>914</v>
      </c>
      <c r="D449" s="491" t="s">
        <v>897</v>
      </c>
      <c r="E449" s="491" t="s">
        <v>47</v>
      </c>
      <c r="F449" s="493">
        <v>6</v>
      </c>
      <c r="G449" s="494">
        <v>3590000</v>
      </c>
      <c r="H449" s="494">
        <f t="shared" si="35"/>
        <v>21540000</v>
      </c>
      <c r="I449" s="287">
        <v>6</v>
      </c>
      <c r="J449" s="495">
        <v>3600000</v>
      </c>
      <c r="K449" s="164">
        <f t="shared" si="36"/>
        <v>21600000</v>
      </c>
      <c r="L449" s="288">
        <f t="shared" si="34"/>
        <v>10000</v>
      </c>
      <c r="M449" s="496" t="s">
        <v>898</v>
      </c>
      <c r="N449" s="496" t="s">
        <v>915</v>
      </c>
      <c r="O449" s="496" t="s">
        <v>900</v>
      </c>
      <c r="P449" s="403" t="s">
        <v>901</v>
      </c>
      <c r="Q449" s="115"/>
      <c r="R449" s="74"/>
      <c r="S449" s="71"/>
    </row>
    <row r="450" spans="1:19" ht="18">
      <c r="A450" s="491">
        <v>345</v>
      </c>
      <c r="B450" s="491">
        <v>9</v>
      </c>
      <c r="C450" s="492" t="s">
        <v>916</v>
      </c>
      <c r="D450" s="491" t="s">
        <v>897</v>
      </c>
      <c r="E450" s="491" t="s">
        <v>47</v>
      </c>
      <c r="F450" s="493">
        <v>10</v>
      </c>
      <c r="G450" s="494">
        <v>1640000</v>
      </c>
      <c r="H450" s="494">
        <f t="shared" si="35"/>
        <v>16400000</v>
      </c>
      <c r="I450" s="287">
        <v>10</v>
      </c>
      <c r="J450" s="495">
        <v>1645000</v>
      </c>
      <c r="K450" s="164">
        <f t="shared" si="36"/>
        <v>16450000</v>
      </c>
      <c r="L450" s="288">
        <f t="shared" si="34"/>
        <v>5000</v>
      </c>
      <c r="M450" s="496" t="s">
        <v>898</v>
      </c>
      <c r="N450" s="496" t="s">
        <v>917</v>
      </c>
      <c r="O450" s="496" t="s">
        <v>900</v>
      </c>
      <c r="P450" s="403" t="s">
        <v>901</v>
      </c>
      <c r="Q450" s="115"/>
      <c r="R450" s="74"/>
      <c r="S450" s="71"/>
    </row>
    <row r="451" spans="1:19" ht="18">
      <c r="A451" s="491">
        <v>346</v>
      </c>
      <c r="B451" s="491">
        <v>10</v>
      </c>
      <c r="C451" s="492" t="s">
        <v>918</v>
      </c>
      <c r="D451" s="491" t="s">
        <v>897</v>
      </c>
      <c r="E451" s="491" t="s">
        <v>47</v>
      </c>
      <c r="F451" s="493">
        <v>3</v>
      </c>
      <c r="G451" s="494">
        <v>2980000</v>
      </c>
      <c r="H451" s="494">
        <f t="shared" si="35"/>
        <v>8940000</v>
      </c>
      <c r="I451" s="287">
        <v>3</v>
      </c>
      <c r="J451" s="164">
        <v>3000000</v>
      </c>
      <c r="K451" s="164">
        <f t="shared" si="36"/>
        <v>9000000</v>
      </c>
      <c r="L451" s="288">
        <f t="shared" si="34"/>
        <v>20000</v>
      </c>
      <c r="M451" s="496" t="s">
        <v>898</v>
      </c>
      <c r="N451" s="496" t="s">
        <v>919</v>
      </c>
      <c r="O451" s="496" t="s">
        <v>900</v>
      </c>
      <c r="P451" s="403" t="s">
        <v>901</v>
      </c>
      <c r="Q451" s="115"/>
      <c r="R451" s="74"/>
      <c r="S451" s="71"/>
    </row>
    <row r="452" spans="1:19" ht="18">
      <c r="A452" s="491">
        <v>347</v>
      </c>
      <c r="B452" s="491">
        <v>11</v>
      </c>
      <c r="C452" s="492" t="s">
        <v>920</v>
      </c>
      <c r="D452" s="491" t="s">
        <v>921</v>
      </c>
      <c r="E452" s="491" t="s">
        <v>47</v>
      </c>
      <c r="F452" s="493">
        <v>30</v>
      </c>
      <c r="G452" s="494">
        <v>250000</v>
      </c>
      <c r="H452" s="494">
        <f t="shared" si="35"/>
        <v>7500000</v>
      </c>
      <c r="I452" s="287">
        <v>30</v>
      </c>
      <c r="J452" s="495">
        <v>255000</v>
      </c>
      <c r="K452" s="164">
        <f t="shared" si="36"/>
        <v>7650000</v>
      </c>
      <c r="L452" s="288">
        <f t="shared" si="34"/>
        <v>5000</v>
      </c>
      <c r="M452" s="496" t="s">
        <v>898</v>
      </c>
      <c r="N452" s="496" t="s">
        <v>922</v>
      </c>
      <c r="O452" s="496" t="s">
        <v>900</v>
      </c>
      <c r="P452" s="403" t="s">
        <v>901</v>
      </c>
      <c r="Q452" s="115"/>
      <c r="R452" s="74"/>
      <c r="S452" s="71"/>
    </row>
    <row r="453" spans="1:19" ht="18">
      <c r="A453" s="491">
        <v>348</v>
      </c>
      <c r="B453" s="491">
        <v>12</v>
      </c>
      <c r="C453" s="492" t="s">
        <v>923</v>
      </c>
      <c r="D453" s="491" t="s">
        <v>921</v>
      </c>
      <c r="E453" s="491" t="s">
        <v>47</v>
      </c>
      <c r="F453" s="497">
        <v>8000</v>
      </c>
      <c r="G453" s="494">
        <v>250000</v>
      </c>
      <c r="H453" s="494">
        <f t="shared" si="35"/>
        <v>2000000000</v>
      </c>
      <c r="I453" s="287">
        <v>8000</v>
      </c>
      <c r="J453" s="495">
        <v>255000</v>
      </c>
      <c r="K453" s="164">
        <f t="shared" si="36"/>
        <v>2040000000</v>
      </c>
      <c r="L453" s="288">
        <f t="shared" si="34"/>
        <v>5000</v>
      </c>
      <c r="M453" s="496" t="s">
        <v>898</v>
      </c>
      <c r="N453" s="496" t="s">
        <v>924</v>
      </c>
      <c r="O453" s="496" t="s">
        <v>900</v>
      </c>
      <c r="P453" s="403" t="s">
        <v>901</v>
      </c>
      <c r="Q453" s="115"/>
      <c r="R453" s="74"/>
      <c r="S453" s="71"/>
    </row>
    <row r="454" spans="1:19" ht="18">
      <c r="A454" s="491">
        <v>349</v>
      </c>
      <c r="B454" s="491">
        <v>13</v>
      </c>
      <c r="C454" s="492" t="s">
        <v>925</v>
      </c>
      <c r="D454" s="491" t="s">
        <v>921</v>
      </c>
      <c r="E454" s="491" t="s">
        <v>47</v>
      </c>
      <c r="F454" s="497">
        <v>3000</v>
      </c>
      <c r="G454" s="494">
        <v>370000</v>
      </c>
      <c r="H454" s="494">
        <f t="shared" si="35"/>
        <v>1110000000</v>
      </c>
      <c r="I454" s="287">
        <v>3000</v>
      </c>
      <c r="J454" s="495">
        <v>375000</v>
      </c>
      <c r="K454" s="164">
        <f t="shared" si="36"/>
        <v>1125000000</v>
      </c>
      <c r="L454" s="288">
        <f t="shared" si="34"/>
        <v>5000</v>
      </c>
      <c r="M454" s="496" t="s">
        <v>898</v>
      </c>
      <c r="N454" s="496" t="s">
        <v>926</v>
      </c>
      <c r="O454" s="496" t="s">
        <v>900</v>
      </c>
      <c r="P454" s="403" t="s">
        <v>901</v>
      </c>
      <c r="Q454" s="115"/>
      <c r="R454" s="74"/>
      <c r="S454" s="71"/>
    </row>
    <row r="455" spans="1:19" ht="18">
      <c r="A455" s="491">
        <v>350</v>
      </c>
      <c r="B455" s="491">
        <v>14</v>
      </c>
      <c r="C455" s="492" t="s">
        <v>927</v>
      </c>
      <c r="D455" s="491" t="s">
        <v>897</v>
      </c>
      <c r="E455" s="491" t="s">
        <v>47</v>
      </c>
      <c r="F455" s="493">
        <v>5</v>
      </c>
      <c r="G455" s="494">
        <v>380000</v>
      </c>
      <c r="H455" s="494">
        <f t="shared" si="35"/>
        <v>1900000</v>
      </c>
      <c r="I455" s="287">
        <v>5</v>
      </c>
      <c r="J455" s="495">
        <v>400000</v>
      </c>
      <c r="K455" s="164">
        <f t="shared" si="36"/>
        <v>2000000</v>
      </c>
      <c r="L455" s="288">
        <f t="shared" si="34"/>
        <v>20000</v>
      </c>
      <c r="M455" s="496" t="s">
        <v>898</v>
      </c>
      <c r="N455" s="496" t="s">
        <v>928</v>
      </c>
      <c r="O455" s="496" t="s">
        <v>900</v>
      </c>
      <c r="P455" s="403" t="s">
        <v>901</v>
      </c>
      <c r="Q455" s="115"/>
      <c r="R455" s="74"/>
      <c r="S455" s="71"/>
    </row>
    <row r="456" spans="1:19" ht="27">
      <c r="A456" s="491">
        <v>351</v>
      </c>
      <c r="B456" s="491">
        <v>15</v>
      </c>
      <c r="C456" s="492" t="s">
        <v>929</v>
      </c>
      <c r="D456" s="491" t="s">
        <v>897</v>
      </c>
      <c r="E456" s="491" t="s">
        <v>47</v>
      </c>
      <c r="F456" s="493">
        <v>20</v>
      </c>
      <c r="G456" s="494">
        <v>1500000</v>
      </c>
      <c r="H456" s="494">
        <f t="shared" si="35"/>
        <v>30000000</v>
      </c>
      <c r="I456" s="287">
        <v>20</v>
      </c>
      <c r="J456" s="495">
        <v>1544000</v>
      </c>
      <c r="K456" s="164">
        <f t="shared" si="36"/>
        <v>30880000</v>
      </c>
      <c r="L456" s="288">
        <f t="shared" si="34"/>
        <v>44000</v>
      </c>
      <c r="M456" s="498" t="s">
        <v>930</v>
      </c>
      <c r="N456" s="496">
        <v>20101004</v>
      </c>
      <c r="O456" s="496" t="s">
        <v>900</v>
      </c>
      <c r="P456" s="403" t="s">
        <v>901</v>
      </c>
      <c r="Q456" s="115"/>
      <c r="R456" s="74"/>
      <c r="S456" s="71"/>
    </row>
    <row r="457" spans="1:19" ht="27">
      <c r="A457" s="491">
        <v>352</v>
      </c>
      <c r="B457" s="491">
        <v>16</v>
      </c>
      <c r="C457" s="492" t="s">
        <v>931</v>
      </c>
      <c r="D457" s="491" t="s">
        <v>897</v>
      </c>
      <c r="E457" s="491" t="s">
        <v>47</v>
      </c>
      <c r="F457" s="493">
        <v>20</v>
      </c>
      <c r="G457" s="494">
        <v>2550000</v>
      </c>
      <c r="H457" s="494">
        <f t="shared" si="35"/>
        <v>51000000</v>
      </c>
      <c r="I457" s="287">
        <v>20</v>
      </c>
      <c r="J457" s="495">
        <v>2590000</v>
      </c>
      <c r="K457" s="164">
        <f t="shared" si="36"/>
        <v>51800000</v>
      </c>
      <c r="L457" s="288">
        <f t="shared" si="34"/>
        <v>40000</v>
      </c>
      <c r="M457" s="498" t="s">
        <v>930</v>
      </c>
      <c r="N457" s="496">
        <v>20135105</v>
      </c>
      <c r="O457" s="496" t="s">
        <v>900</v>
      </c>
      <c r="P457" s="403" t="s">
        <v>901</v>
      </c>
      <c r="Q457" s="115"/>
      <c r="R457" s="74"/>
      <c r="S457" s="71"/>
    </row>
    <row r="458" spans="1:19" ht="27">
      <c r="A458" s="491">
        <v>353</v>
      </c>
      <c r="B458" s="491">
        <v>17</v>
      </c>
      <c r="C458" s="492" t="s">
        <v>932</v>
      </c>
      <c r="D458" s="491" t="s">
        <v>897</v>
      </c>
      <c r="E458" s="491" t="s">
        <v>47</v>
      </c>
      <c r="F458" s="493">
        <v>500</v>
      </c>
      <c r="G458" s="494">
        <v>375000</v>
      </c>
      <c r="H458" s="494">
        <f t="shared" si="35"/>
        <v>187500000</v>
      </c>
      <c r="I458" s="287">
        <v>500</v>
      </c>
      <c r="J458" s="495">
        <v>379000</v>
      </c>
      <c r="K458" s="164">
        <f t="shared" si="36"/>
        <v>189500000</v>
      </c>
      <c r="L458" s="288">
        <f t="shared" si="34"/>
        <v>4000</v>
      </c>
      <c r="M458" s="498" t="s">
        <v>930</v>
      </c>
      <c r="N458" s="496">
        <v>30302110</v>
      </c>
      <c r="O458" s="496" t="s">
        <v>900</v>
      </c>
      <c r="P458" s="403" t="s">
        <v>901</v>
      </c>
      <c r="Q458" s="115"/>
      <c r="R458" s="74"/>
      <c r="S458" s="71"/>
    </row>
    <row r="459" spans="1:19" ht="18">
      <c r="A459" s="491">
        <v>354</v>
      </c>
      <c r="B459" s="491">
        <v>18</v>
      </c>
      <c r="C459" s="492" t="s">
        <v>933</v>
      </c>
      <c r="D459" s="491" t="s">
        <v>897</v>
      </c>
      <c r="E459" s="491" t="s">
        <v>47</v>
      </c>
      <c r="F459" s="493">
        <v>2</v>
      </c>
      <c r="G459" s="494">
        <v>3230000</v>
      </c>
      <c r="H459" s="494">
        <f t="shared" si="35"/>
        <v>6460000</v>
      </c>
      <c r="I459" s="287">
        <v>2</v>
      </c>
      <c r="J459" s="495">
        <v>3240000</v>
      </c>
      <c r="K459" s="164">
        <f t="shared" si="36"/>
        <v>6480000</v>
      </c>
      <c r="L459" s="288">
        <f t="shared" si="34"/>
        <v>10000</v>
      </c>
      <c r="M459" s="496" t="s">
        <v>898</v>
      </c>
      <c r="N459" s="496" t="s">
        <v>934</v>
      </c>
      <c r="O459" s="496" t="s">
        <v>900</v>
      </c>
      <c r="P459" s="403" t="s">
        <v>901</v>
      </c>
      <c r="Q459" s="115"/>
      <c r="R459" s="74"/>
      <c r="S459" s="71"/>
    </row>
    <row r="460" spans="1:19" ht="27">
      <c r="A460" s="491">
        <v>355</v>
      </c>
      <c r="B460" s="491">
        <v>19</v>
      </c>
      <c r="C460" s="492" t="s">
        <v>935</v>
      </c>
      <c r="D460" s="491" t="s">
        <v>897</v>
      </c>
      <c r="E460" s="491" t="s">
        <v>47</v>
      </c>
      <c r="F460" s="493">
        <v>10</v>
      </c>
      <c r="G460" s="494">
        <v>7400000</v>
      </c>
      <c r="H460" s="494">
        <f t="shared" si="35"/>
        <v>74000000</v>
      </c>
      <c r="I460" s="287">
        <v>10</v>
      </c>
      <c r="J460" s="495">
        <v>7450000</v>
      </c>
      <c r="K460" s="164">
        <f t="shared" si="36"/>
        <v>74500000</v>
      </c>
      <c r="L460" s="288">
        <f t="shared" si="34"/>
        <v>50000</v>
      </c>
      <c r="M460" s="498" t="s">
        <v>930</v>
      </c>
      <c r="N460" s="496">
        <v>22572106</v>
      </c>
      <c r="O460" s="496" t="s">
        <v>900</v>
      </c>
      <c r="P460" s="403" t="s">
        <v>901</v>
      </c>
      <c r="Q460" s="115"/>
      <c r="R460" s="74"/>
      <c r="S460" s="71"/>
    </row>
    <row r="461" spans="1:19" ht="27">
      <c r="A461" s="491">
        <v>356</v>
      </c>
      <c r="B461" s="491">
        <v>20</v>
      </c>
      <c r="C461" s="492" t="s">
        <v>936</v>
      </c>
      <c r="D461" s="491" t="s">
        <v>897</v>
      </c>
      <c r="E461" s="491" t="s">
        <v>47</v>
      </c>
      <c r="F461" s="493">
        <v>5</v>
      </c>
      <c r="G461" s="494">
        <v>7400000</v>
      </c>
      <c r="H461" s="494">
        <f t="shared" si="35"/>
        <v>37000000</v>
      </c>
      <c r="I461" s="287">
        <v>5</v>
      </c>
      <c r="J461" s="495">
        <v>7450000</v>
      </c>
      <c r="K461" s="164">
        <f t="shared" si="36"/>
        <v>37250000</v>
      </c>
      <c r="L461" s="288">
        <f t="shared" si="34"/>
        <v>50000</v>
      </c>
      <c r="M461" s="498" t="s">
        <v>930</v>
      </c>
      <c r="N461" s="496">
        <v>22560205</v>
      </c>
      <c r="O461" s="496" t="s">
        <v>900</v>
      </c>
      <c r="P461" s="403" t="s">
        <v>901</v>
      </c>
      <c r="Q461" s="115"/>
      <c r="R461" s="74"/>
      <c r="S461" s="71"/>
    </row>
    <row r="462" spans="1:19" ht="27">
      <c r="A462" s="491">
        <v>357</v>
      </c>
      <c r="B462" s="491">
        <v>21</v>
      </c>
      <c r="C462" s="492" t="s">
        <v>937</v>
      </c>
      <c r="D462" s="491" t="s">
        <v>897</v>
      </c>
      <c r="E462" s="491" t="s">
        <v>47</v>
      </c>
      <c r="F462" s="493">
        <v>5</v>
      </c>
      <c r="G462" s="494">
        <v>7400000</v>
      </c>
      <c r="H462" s="494">
        <f t="shared" si="35"/>
        <v>37000000</v>
      </c>
      <c r="I462" s="287">
        <v>5</v>
      </c>
      <c r="J462" s="495">
        <v>7450000</v>
      </c>
      <c r="K462" s="164">
        <f t="shared" si="36"/>
        <v>37250000</v>
      </c>
      <c r="L462" s="288">
        <f t="shared" si="34"/>
        <v>50000</v>
      </c>
      <c r="M462" s="498" t="s">
        <v>930</v>
      </c>
      <c r="N462" s="496">
        <v>22506009</v>
      </c>
      <c r="O462" s="496" t="s">
        <v>900</v>
      </c>
      <c r="P462" s="403" t="s">
        <v>901</v>
      </c>
      <c r="Q462" s="115"/>
      <c r="R462" s="74"/>
      <c r="S462" s="71"/>
    </row>
    <row r="463" spans="1:19" ht="27">
      <c r="A463" s="491">
        <v>358</v>
      </c>
      <c r="B463" s="491">
        <v>22</v>
      </c>
      <c r="C463" s="492" t="s">
        <v>938</v>
      </c>
      <c r="D463" s="491" t="s">
        <v>921</v>
      </c>
      <c r="E463" s="491" t="s">
        <v>47</v>
      </c>
      <c r="F463" s="493">
        <v>50</v>
      </c>
      <c r="G463" s="494">
        <v>820000</v>
      </c>
      <c r="H463" s="494">
        <f t="shared" si="35"/>
        <v>41000000</v>
      </c>
      <c r="I463" s="287">
        <v>50</v>
      </c>
      <c r="J463" s="495">
        <v>840000</v>
      </c>
      <c r="K463" s="164">
        <f t="shared" si="36"/>
        <v>42000000</v>
      </c>
      <c r="L463" s="288">
        <f t="shared" si="34"/>
        <v>20000</v>
      </c>
      <c r="M463" s="498" t="s">
        <v>930</v>
      </c>
      <c r="N463" s="496">
        <v>32580018</v>
      </c>
      <c r="O463" s="496" t="s">
        <v>900</v>
      </c>
      <c r="P463" s="403" t="s">
        <v>901</v>
      </c>
      <c r="Q463" s="115"/>
      <c r="R463" s="74"/>
      <c r="S463" s="71"/>
    </row>
    <row r="464" spans="1:19" ht="18">
      <c r="A464" s="491">
        <v>359</v>
      </c>
      <c r="B464" s="491">
        <v>23</v>
      </c>
      <c r="C464" s="492" t="s">
        <v>939</v>
      </c>
      <c r="D464" s="491" t="s">
        <v>897</v>
      </c>
      <c r="E464" s="491" t="s">
        <v>47</v>
      </c>
      <c r="F464" s="493">
        <v>5</v>
      </c>
      <c r="G464" s="494">
        <v>7180000</v>
      </c>
      <c r="H464" s="494">
        <f t="shared" si="35"/>
        <v>35900000</v>
      </c>
      <c r="I464" s="287">
        <v>5</v>
      </c>
      <c r="J464" s="495">
        <v>7200000</v>
      </c>
      <c r="K464" s="164">
        <f>J464*I464</f>
        <v>36000000</v>
      </c>
      <c r="L464" s="288">
        <f t="shared" si="34"/>
        <v>20000</v>
      </c>
      <c r="M464" s="496" t="s">
        <v>940</v>
      </c>
      <c r="N464" s="496" t="s">
        <v>941</v>
      </c>
      <c r="O464" s="496" t="s">
        <v>900</v>
      </c>
      <c r="P464" s="403" t="s">
        <v>901</v>
      </c>
      <c r="Q464" s="115"/>
      <c r="R464" s="74"/>
      <c r="S464" s="71"/>
    </row>
    <row r="465" spans="1:31" ht="18">
      <c r="A465" s="491">
        <v>360</v>
      </c>
      <c r="B465" s="491">
        <v>24</v>
      </c>
      <c r="C465" s="492" t="s">
        <v>942</v>
      </c>
      <c r="D465" s="491" t="s">
        <v>897</v>
      </c>
      <c r="E465" s="491" t="s">
        <v>47</v>
      </c>
      <c r="F465" s="493">
        <v>2</v>
      </c>
      <c r="G465" s="494">
        <v>7680000</v>
      </c>
      <c r="H465" s="494">
        <f t="shared" si="35"/>
        <v>15360000</v>
      </c>
      <c r="I465" s="287">
        <v>2</v>
      </c>
      <c r="J465" s="495">
        <v>7700000</v>
      </c>
      <c r="K465" s="164">
        <f t="shared" si="36"/>
        <v>15400000</v>
      </c>
      <c r="L465" s="288">
        <f t="shared" si="34"/>
        <v>20000</v>
      </c>
      <c r="M465" s="496" t="s">
        <v>940</v>
      </c>
      <c r="N465" s="496" t="s">
        <v>943</v>
      </c>
      <c r="O465" s="496" t="s">
        <v>900</v>
      </c>
      <c r="P465" s="403" t="s">
        <v>901</v>
      </c>
      <c r="Q465" s="115"/>
      <c r="R465" s="74"/>
      <c r="S465" s="71"/>
    </row>
    <row r="466" spans="1:31" ht="18">
      <c r="A466" s="491">
        <v>361</v>
      </c>
      <c r="B466" s="491">
        <v>25</v>
      </c>
      <c r="C466" s="492" t="s">
        <v>944</v>
      </c>
      <c r="D466" s="491" t="s">
        <v>897</v>
      </c>
      <c r="E466" s="491" t="s">
        <v>47</v>
      </c>
      <c r="F466" s="493">
        <v>5</v>
      </c>
      <c r="G466" s="494">
        <v>7000000</v>
      </c>
      <c r="H466" s="494">
        <f t="shared" si="35"/>
        <v>35000000</v>
      </c>
      <c r="I466" s="287">
        <v>5</v>
      </c>
      <c r="J466" s="495">
        <v>7050000</v>
      </c>
      <c r="K466" s="164">
        <f t="shared" si="36"/>
        <v>35250000</v>
      </c>
      <c r="L466" s="288">
        <f t="shared" si="34"/>
        <v>50000</v>
      </c>
      <c r="M466" s="496" t="s">
        <v>940</v>
      </c>
      <c r="N466" s="496" t="s">
        <v>945</v>
      </c>
      <c r="O466" s="496" t="s">
        <v>900</v>
      </c>
      <c r="P466" s="403" t="s">
        <v>901</v>
      </c>
      <c r="Q466" s="115"/>
      <c r="R466" s="74"/>
      <c r="S466" s="71"/>
    </row>
    <row r="467" spans="1:31" ht="18">
      <c r="A467" s="491">
        <v>362</v>
      </c>
      <c r="B467" s="491">
        <v>26</v>
      </c>
      <c r="C467" s="492" t="s">
        <v>946</v>
      </c>
      <c r="D467" s="491" t="s">
        <v>947</v>
      </c>
      <c r="E467" s="491" t="s">
        <v>47</v>
      </c>
      <c r="F467" s="493">
        <v>20</v>
      </c>
      <c r="G467" s="494">
        <v>1850000</v>
      </c>
      <c r="H467" s="494">
        <f t="shared" si="35"/>
        <v>37000000</v>
      </c>
      <c r="I467" s="287">
        <v>20</v>
      </c>
      <c r="J467" s="495">
        <v>1860000</v>
      </c>
      <c r="K467" s="164">
        <f t="shared" si="36"/>
        <v>37200000</v>
      </c>
      <c r="L467" s="288">
        <f t="shared" si="34"/>
        <v>10000</v>
      </c>
      <c r="M467" s="496" t="s">
        <v>940</v>
      </c>
      <c r="N467" s="496" t="s">
        <v>948</v>
      </c>
      <c r="O467" s="496" t="s">
        <v>900</v>
      </c>
      <c r="P467" s="403" t="s">
        <v>901</v>
      </c>
      <c r="Q467" s="115"/>
      <c r="R467" s="74"/>
      <c r="S467" s="71"/>
    </row>
    <row r="468" spans="1:31" ht="18">
      <c r="A468" s="491">
        <v>363</v>
      </c>
      <c r="B468" s="491">
        <v>27</v>
      </c>
      <c r="C468" s="492" t="s">
        <v>949</v>
      </c>
      <c r="D468" s="491" t="s">
        <v>947</v>
      </c>
      <c r="E468" s="491" t="s">
        <v>47</v>
      </c>
      <c r="F468" s="493">
        <v>20</v>
      </c>
      <c r="G468" s="494">
        <v>1850000</v>
      </c>
      <c r="H468" s="494">
        <f t="shared" si="35"/>
        <v>37000000</v>
      </c>
      <c r="I468" s="287">
        <v>20</v>
      </c>
      <c r="J468" s="495">
        <v>1860000</v>
      </c>
      <c r="K468" s="164">
        <f t="shared" si="36"/>
        <v>37200000</v>
      </c>
      <c r="L468" s="288">
        <f t="shared" si="34"/>
        <v>10000</v>
      </c>
      <c r="M468" s="496" t="s">
        <v>940</v>
      </c>
      <c r="N468" s="496" t="s">
        <v>950</v>
      </c>
      <c r="O468" s="496" t="s">
        <v>900</v>
      </c>
      <c r="P468" s="403" t="s">
        <v>901</v>
      </c>
      <c r="Q468" s="115"/>
      <c r="R468" s="74"/>
      <c r="S468" s="71"/>
    </row>
    <row r="469" spans="1:31" ht="18">
      <c r="A469" s="491">
        <v>364</v>
      </c>
      <c r="B469" s="491">
        <v>28</v>
      </c>
      <c r="C469" s="492" t="s">
        <v>951</v>
      </c>
      <c r="D469" s="491" t="s">
        <v>947</v>
      </c>
      <c r="E469" s="491" t="s">
        <v>47</v>
      </c>
      <c r="F469" s="493">
        <v>20</v>
      </c>
      <c r="G469" s="494">
        <v>1850000</v>
      </c>
      <c r="H469" s="494">
        <f t="shared" si="35"/>
        <v>37000000</v>
      </c>
      <c r="I469" s="287">
        <v>20</v>
      </c>
      <c r="J469" s="495">
        <v>1860000</v>
      </c>
      <c r="K469" s="164">
        <f t="shared" si="36"/>
        <v>37200000</v>
      </c>
      <c r="L469" s="288">
        <f t="shared" si="34"/>
        <v>10000</v>
      </c>
      <c r="M469" s="496" t="s">
        <v>940</v>
      </c>
      <c r="N469" s="496" t="s">
        <v>952</v>
      </c>
      <c r="O469" s="496" t="s">
        <v>900</v>
      </c>
      <c r="P469" s="403" t="s">
        <v>901</v>
      </c>
      <c r="Q469" s="115"/>
      <c r="R469" s="74"/>
      <c r="S469" s="71"/>
    </row>
    <row r="470" spans="1:31" ht="18">
      <c r="A470" s="491">
        <v>365</v>
      </c>
      <c r="B470" s="491">
        <v>29</v>
      </c>
      <c r="C470" s="492" t="s">
        <v>953</v>
      </c>
      <c r="D470" s="491" t="s">
        <v>954</v>
      </c>
      <c r="E470" s="491" t="s">
        <v>47</v>
      </c>
      <c r="F470" s="493">
        <v>2</v>
      </c>
      <c r="G470" s="494">
        <v>1850000</v>
      </c>
      <c r="H470" s="494">
        <f t="shared" si="35"/>
        <v>3700000</v>
      </c>
      <c r="I470" s="287">
        <v>2</v>
      </c>
      <c r="J470" s="495">
        <v>1860000</v>
      </c>
      <c r="K470" s="164">
        <f t="shared" si="36"/>
        <v>3720000</v>
      </c>
      <c r="L470" s="288">
        <f t="shared" si="34"/>
        <v>10000</v>
      </c>
      <c r="M470" s="496" t="s">
        <v>940</v>
      </c>
      <c r="N470" s="496" t="s">
        <v>955</v>
      </c>
      <c r="O470" s="496" t="s">
        <v>900</v>
      </c>
      <c r="P470" s="403" t="s">
        <v>901</v>
      </c>
      <c r="Q470" s="115"/>
      <c r="R470" s="74"/>
      <c r="S470" s="71"/>
    </row>
    <row r="471" spans="1:31" ht="18">
      <c r="A471" s="491">
        <v>366</v>
      </c>
      <c r="B471" s="491">
        <v>30</v>
      </c>
      <c r="C471" s="492" t="s">
        <v>956</v>
      </c>
      <c r="D471" s="491" t="s">
        <v>954</v>
      </c>
      <c r="E471" s="491" t="s">
        <v>47</v>
      </c>
      <c r="F471" s="493">
        <v>1</v>
      </c>
      <c r="G471" s="494">
        <v>1850000</v>
      </c>
      <c r="H471" s="494">
        <f t="shared" si="35"/>
        <v>1850000</v>
      </c>
      <c r="I471" s="287">
        <v>1</v>
      </c>
      <c r="J471" s="495">
        <v>1860000</v>
      </c>
      <c r="K471" s="164">
        <f t="shared" si="36"/>
        <v>1860000</v>
      </c>
      <c r="L471" s="288">
        <f t="shared" si="34"/>
        <v>10000</v>
      </c>
      <c r="M471" s="496" t="s">
        <v>940</v>
      </c>
      <c r="N471" s="496" t="s">
        <v>957</v>
      </c>
      <c r="O471" s="496" t="s">
        <v>900</v>
      </c>
      <c r="P471" s="403" t="s">
        <v>901</v>
      </c>
      <c r="Q471" s="115"/>
      <c r="R471" s="74"/>
      <c r="S471" s="71"/>
    </row>
    <row r="472" spans="1:31">
      <c r="A472" s="499"/>
      <c r="B472" s="499"/>
      <c r="C472" s="500" t="s">
        <v>958</v>
      </c>
      <c r="D472" s="499"/>
      <c r="E472" s="499"/>
      <c r="F472" s="501"/>
      <c r="G472" s="502"/>
      <c r="H472" s="2291">
        <f>SUM(H442:H471)</f>
        <v>5688550000</v>
      </c>
      <c r="I472" s="503"/>
      <c r="J472" s="503"/>
      <c r="K472" s="502">
        <f>SUM(K442:K471)</f>
        <v>5760190000</v>
      </c>
      <c r="L472" s="503"/>
      <c r="M472" s="504"/>
      <c r="N472" s="504"/>
      <c r="O472" s="504"/>
      <c r="P472" s="420"/>
      <c r="Q472" s="115"/>
      <c r="R472" s="74"/>
      <c r="S472" s="71"/>
    </row>
    <row r="473" spans="1:31">
      <c r="A473" s="71" t="s">
        <v>959</v>
      </c>
      <c r="F473" s="71"/>
      <c r="G473" s="71"/>
      <c r="H473" s="71"/>
      <c r="I473" s="505"/>
      <c r="J473" s="505"/>
      <c r="K473" s="505"/>
      <c r="L473" s="71"/>
      <c r="R473" s="74"/>
      <c r="S473" s="71"/>
    </row>
    <row r="474" spans="1:31" s="145" customFormat="1">
      <c r="A474" s="145" t="s">
        <v>960</v>
      </c>
      <c r="C474" s="144"/>
      <c r="I474" s="506"/>
      <c r="J474" s="506"/>
      <c r="K474" s="506"/>
      <c r="P474" s="507"/>
      <c r="Q474" s="507"/>
      <c r="R474" s="507"/>
    </row>
    <row r="477" spans="1:31">
      <c r="A477" s="71" t="s">
        <v>961</v>
      </c>
    </row>
    <row r="479" spans="1:31" s="12" customFormat="1">
      <c r="A479" s="2092" t="s">
        <v>5</v>
      </c>
      <c r="B479" s="2092" t="s">
        <v>6</v>
      </c>
      <c r="C479" s="2094" t="s">
        <v>7</v>
      </c>
      <c r="D479" s="2096" t="s">
        <v>8</v>
      </c>
      <c r="E479" s="2092" t="s">
        <v>9</v>
      </c>
      <c r="F479" s="2098" t="s">
        <v>10</v>
      </c>
      <c r="G479" s="2098"/>
      <c r="H479" s="2098"/>
      <c r="I479" s="2098" t="s">
        <v>11</v>
      </c>
      <c r="J479" s="2098"/>
      <c r="K479" s="2098"/>
      <c r="L479" s="2099" t="s">
        <v>12</v>
      </c>
      <c r="M479" s="9"/>
      <c r="N479" s="9"/>
      <c r="O479" s="9"/>
      <c r="P479" s="2101" t="s">
        <v>13</v>
      </c>
      <c r="Q479" s="2265" t="s">
        <v>4740</v>
      </c>
      <c r="R479" s="2319" t="s">
        <v>4754</v>
      </c>
      <c r="S479" s="2267" t="s">
        <v>4767</v>
      </c>
      <c r="T479" s="2268"/>
      <c r="U479" s="2268"/>
      <c r="V479" s="2268"/>
      <c r="W479" s="2269"/>
      <c r="X479" s="2267" t="s">
        <v>4768</v>
      </c>
      <c r="Y479" s="2268"/>
      <c r="Z479" s="2268"/>
      <c r="AA479" s="2268"/>
      <c r="AB479" s="2268"/>
      <c r="AC479" s="2268"/>
      <c r="AD479" s="2268"/>
      <c r="AE479" s="2269"/>
    </row>
    <row r="480" spans="1:31" s="16" customFormat="1" ht="27">
      <c r="A480" s="2093"/>
      <c r="B480" s="2093"/>
      <c r="C480" s="2095"/>
      <c r="D480" s="2097"/>
      <c r="E480" s="2093"/>
      <c r="F480" s="13" t="s">
        <v>14</v>
      </c>
      <c r="G480" s="13" t="s">
        <v>15</v>
      </c>
      <c r="H480" s="13" t="s">
        <v>16</v>
      </c>
      <c r="I480" s="13" t="s">
        <v>14</v>
      </c>
      <c r="J480" s="13" t="s">
        <v>15</v>
      </c>
      <c r="K480" s="13" t="s">
        <v>16</v>
      </c>
      <c r="L480" s="2100"/>
      <c r="M480" s="14" t="s">
        <v>17</v>
      </c>
      <c r="N480" s="14" t="s">
        <v>18</v>
      </c>
      <c r="O480" s="14" t="s">
        <v>19</v>
      </c>
      <c r="P480" s="2102"/>
      <c r="Q480" s="2266"/>
      <c r="R480" s="2320"/>
      <c r="S480" s="2263" t="s">
        <v>4755</v>
      </c>
      <c r="T480" s="2263" t="s">
        <v>4756</v>
      </c>
      <c r="U480" s="2263" t="s">
        <v>4757</v>
      </c>
      <c r="V480" s="2263" t="s">
        <v>4758</v>
      </c>
      <c r="W480" s="2263" t="s">
        <v>4759</v>
      </c>
      <c r="X480" s="2264" t="s">
        <v>4760</v>
      </c>
      <c r="Y480" s="2264" t="s">
        <v>4761</v>
      </c>
      <c r="Z480" s="2264" t="s">
        <v>4762</v>
      </c>
      <c r="AA480" s="2264" t="s">
        <v>4763</v>
      </c>
      <c r="AB480" s="2264" t="s">
        <v>4764</v>
      </c>
      <c r="AC480" s="2264" t="s">
        <v>4765</v>
      </c>
      <c r="AD480" s="2264" t="s">
        <v>4766</v>
      </c>
      <c r="AE480" s="2264" t="s">
        <v>4755</v>
      </c>
    </row>
    <row r="481" spans="1:19" s="24" customFormat="1">
      <c r="A481" s="17">
        <v>1</v>
      </c>
      <c r="B481" s="17">
        <v>2</v>
      </c>
      <c r="C481" s="18">
        <v>3</v>
      </c>
      <c r="D481" s="19">
        <v>4</v>
      </c>
      <c r="E481" s="17">
        <v>5</v>
      </c>
      <c r="F481" s="13">
        <v>6</v>
      </c>
      <c r="G481" s="20">
        <v>7</v>
      </c>
      <c r="H481" s="20">
        <v>8</v>
      </c>
      <c r="I481" s="20"/>
      <c r="J481" s="20">
        <v>9</v>
      </c>
      <c r="K481" s="20">
        <v>10</v>
      </c>
      <c r="L481" s="20">
        <v>11</v>
      </c>
      <c r="M481" s="19">
        <v>9</v>
      </c>
      <c r="N481" s="19">
        <v>10</v>
      </c>
      <c r="O481" s="19">
        <v>11</v>
      </c>
      <c r="P481" s="21">
        <v>12</v>
      </c>
      <c r="Q481" s="22"/>
      <c r="R481" s="2321"/>
      <c r="S481" s="23"/>
    </row>
    <row r="482" spans="1:19" s="509" customFormat="1" ht="18">
      <c r="A482" s="274">
        <v>367</v>
      </c>
      <c r="B482" s="274">
        <v>1</v>
      </c>
      <c r="C482" s="273" t="s">
        <v>962</v>
      </c>
      <c r="D482" s="274" t="s">
        <v>963</v>
      </c>
      <c r="E482" s="274" t="s">
        <v>964</v>
      </c>
      <c r="F482" s="508">
        <v>150</v>
      </c>
      <c r="G482" s="508">
        <v>58800</v>
      </c>
      <c r="H482" s="508">
        <f>+G482*F482</f>
        <v>8820000</v>
      </c>
      <c r="I482" s="508">
        <v>150</v>
      </c>
      <c r="J482" s="508">
        <v>78000</v>
      </c>
      <c r="K482" s="508">
        <f>I482*J482</f>
        <v>11700000</v>
      </c>
      <c r="L482" s="279">
        <f t="shared" ref="L482:L501" si="37">J482-G482</f>
        <v>19200</v>
      </c>
      <c r="M482" s="274" t="s">
        <v>965</v>
      </c>
      <c r="N482" s="274" t="s">
        <v>966</v>
      </c>
      <c r="O482" s="274"/>
      <c r="P482" s="400" t="s">
        <v>967</v>
      </c>
      <c r="Q482" s="115"/>
      <c r="R482" s="74"/>
    </row>
    <row r="483" spans="1:19" s="509" customFormat="1" ht="18">
      <c r="A483" s="284">
        <v>368</v>
      </c>
      <c r="B483" s="284">
        <v>2</v>
      </c>
      <c r="C483" s="283" t="s">
        <v>968</v>
      </c>
      <c r="D483" s="284" t="s">
        <v>969</v>
      </c>
      <c r="E483" s="284" t="s">
        <v>970</v>
      </c>
      <c r="F483" s="510">
        <v>1500</v>
      </c>
      <c r="G483" s="510">
        <v>1260</v>
      </c>
      <c r="H483" s="510">
        <f t="shared" ref="H483:H501" si="38">+G483*F483</f>
        <v>1890000</v>
      </c>
      <c r="I483" s="510">
        <v>1500</v>
      </c>
      <c r="J483" s="510">
        <v>1400</v>
      </c>
      <c r="K483" s="510">
        <f t="shared" ref="K483:K501" si="39">I483*J483</f>
        <v>2100000</v>
      </c>
      <c r="L483" s="288">
        <f t="shared" si="37"/>
        <v>140</v>
      </c>
      <c r="M483" s="284" t="s">
        <v>971</v>
      </c>
      <c r="N483" s="284" t="s">
        <v>972</v>
      </c>
      <c r="O483" s="284"/>
      <c r="P483" s="403" t="s">
        <v>967</v>
      </c>
      <c r="Q483" s="115"/>
      <c r="R483" s="74"/>
    </row>
    <row r="484" spans="1:19" s="509" customFormat="1" ht="18">
      <c r="A484" s="284">
        <v>369</v>
      </c>
      <c r="B484" s="284">
        <v>3</v>
      </c>
      <c r="C484" s="283" t="s">
        <v>973</v>
      </c>
      <c r="D484" s="284" t="s">
        <v>969</v>
      </c>
      <c r="E484" s="284" t="s">
        <v>970</v>
      </c>
      <c r="F484" s="510">
        <v>1000</v>
      </c>
      <c r="G484" s="510">
        <v>3990</v>
      </c>
      <c r="H484" s="510">
        <f t="shared" si="38"/>
        <v>3990000</v>
      </c>
      <c r="I484" s="510">
        <v>1000</v>
      </c>
      <c r="J484" s="510">
        <v>4300</v>
      </c>
      <c r="K484" s="510">
        <f t="shared" si="39"/>
        <v>4300000</v>
      </c>
      <c r="L484" s="288">
        <f t="shared" si="37"/>
        <v>310</v>
      </c>
      <c r="M484" s="284" t="s">
        <v>971</v>
      </c>
      <c r="N484" s="284" t="s">
        <v>974</v>
      </c>
      <c r="O484" s="284"/>
      <c r="P484" s="403" t="s">
        <v>967</v>
      </c>
      <c r="Q484" s="115"/>
      <c r="R484" s="74"/>
    </row>
    <row r="485" spans="1:19" s="509" customFormat="1" ht="18">
      <c r="A485" s="284">
        <v>370</v>
      </c>
      <c r="B485" s="284">
        <v>4</v>
      </c>
      <c r="C485" s="283" t="s">
        <v>975</v>
      </c>
      <c r="D485" s="284" t="s">
        <v>976</v>
      </c>
      <c r="E485" s="284" t="s">
        <v>977</v>
      </c>
      <c r="F485" s="510">
        <v>100</v>
      </c>
      <c r="G485" s="510">
        <v>24000</v>
      </c>
      <c r="H485" s="510">
        <f t="shared" si="38"/>
        <v>2400000</v>
      </c>
      <c r="I485" s="510">
        <v>100</v>
      </c>
      <c r="J485" s="510">
        <v>36000</v>
      </c>
      <c r="K485" s="510">
        <f t="shared" si="39"/>
        <v>3600000</v>
      </c>
      <c r="L485" s="288">
        <f t="shared" si="37"/>
        <v>12000</v>
      </c>
      <c r="M485" s="284" t="s">
        <v>971</v>
      </c>
      <c r="N485" s="284" t="s">
        <v>978</v>
      </c>
      <c r="O485" s="284"/>
      <c r="P485" s="403" t="s">
        <v>967</v>
      </c>
      <c r="Q485" s="115"/>
      <c r="R485" s="74"/>
    </row>
    <row r="486" spans="1:19" s="509" customFormat="1" ht="18">
      <c r="A486" s="284">
        <v>371</v>
      </c>
      <c r="B486" s="284">
        <v>5</v>
      </c>
      <c r="C486" s="283" t="s">
        <v>979</v>
      </c>
      <c r="D486" s="284" t="s">
        <v>980</v>
      </c>
      <c r="E486" s="284" t="s">
        <v>981</v>
      </c>
      <c r="F486" s="510">
        <v>200</v>
      </c>
      <c r="G486" s="510">
        <v>33000</v>
      </c>
      <c r="H486" s="510">
        <f t="shared" si="38"/>
        <v>6600000</v>
      </c>
      <c r="I486" s="510">
        <v>200</v>
      </c>
      <c r="J486" s="510">
        <v>51000</v>
      </c>
      <c r="K486" s="510">
        <f t="shared" si="39"/>
        <v>10200000</v>
      </c>
      <c r="L486" s="288">
        <f t="shared" si="37"/>
        <v>18000</v>
      </c>
      <c r="M486" s="284" t="s">
        <v>971</v>
      </c>
      <c r="N486" s="284" t="s">
        <v>982</v>
      </c>
      <c r="O486" s="284"/>
      <c r="P486" s="403" t="s">
        <v>967</v>
      </c>
      <c r="Q486" s="115"/>
      <c r="R486" s="74"/>
    </row>
    <row r="487" spans="1:19" s="509" customFormat="1" ht="18">
      <c r="A487" s="284">
        <v>372</v>
      </c>
      <c r="B487" s="284">
        <v>6</v>
      </c>
      <c r="C487" s="283" t="s">
        <v>983</v>
      </c>
      <c r="D487" s="284" t="s">
        <v>984</v>
      </c>
      <c r="E487" s="284" t="s">
        <v>964</v>
      </c>
      <c r="F487" s="510">
        <v>6</v>
      </c>
      <c r="G487" s="510">
        <v>388500</v>
      </c>
      <c r="H487" s="510">
        <f t="shared" si="38"/>
        <v>2331000</v>
      </c>
      <c r="I487" s="510">
        <v>6</v>
      </c>
      <c r="J487" s="510">
        <v>500000</v>
      </c>
      <c r="K487" s="510">
        <f t="shared" si="39"/>
        <v>3000000</v>
      </c>
      <c r="L487" s="288">
        <f t="shared" si="37"/>
        <v>111500</v>
      </c>
      <c r="M487" s="284" t="s">
        <v>965</v>
      </c>
      <c r="N487" s="284" t="s">
        <v>985</v>
      </c>
      <c r="O487" s="284"/>
      <c r="P487" s="403" t="s">
        <v>967</v>
      </c>
      <c r="Q487" s="115"/>
      <c r="R487" s="74"/>
    </row>
    <row r="488" spans="1:19" s="509" customFormat="1" ht="18">
      <c r="A488" s="284">
        <v>373</v>
      </c>
      <c r="B488" s="284">
        <v>7</v>
      </c>
      <c r="C488" s="283" t="s">
        <v>986</v>
      </c>
      <c r="D488" s="284" t="s">
        <v>987</v>
      </c>
      <c r="E488" s="284" t="s">
        <v>964</v>
      </c>
      <c r="F488" s="510">
        <v>50</v>
      </c>
      <c r="G488" s="510">
        <v>420000</v>
      </c>
      <c r="H488" s="510">
        <f t="shared" si="38"/>
        <v>21000000</v>
      </c>
      <c r="I488" s="510">
        <v>50</v>
      </c>
      <c r="J488" s="510">
        <v>1100000</v>
      </c>
      <c r="K488" s="510">
        <f t="shared" si="39"/>
        <v>55000000</v>
      </c>
      <c r="L488" s="288">
        <f t="shared" si="37"/>
        <v>680000</v>
      </c>
      <c r="M488" s="284" t="s">
        <v>965</v>
      </c>
      <c r="N488" s="284" t="s">
        <v>988</v>
      </c>
      <c r="O488" s="284"/>
      <c r="P488" s="403" t="s">
        <v>967</v>
      </c>
      <c r="Q488" s="115"/>
      <c r="R488" s="74"/>
    </row>
    <row r="489" spans="1:19" s="509" customFormat="1" ht="18">
      <c r="A489" s="284">
        <v>374</v>
      </c>
      <c r="B489" s="284">
        <v>8</v>
      </c>
      <c r="C489" s="283" t="s">
        <v>989</v>
      </c>
      <c r="D489" s="284" t="s">
        <v>987</v>
      </c>
      <c r="E489" s="284" t="s">
        <v>964</v>
      </c>
      <c r="F489" s="510">
        <v>40</v>
      </c>
      <c r="G489" s="510">
        <v>550000</v>
      </c>
      <c r="H489" s="510">
        <f t="shared" si="38"/>
        <v>22000000</v>
      </c>
      <c r="I489" s="510">
        <v>40</v>
      </c>
      <c r="J489" s="510">
        <v>1400000</v>
      </c>
      <c r="K489" s="510">
        <f t="shared" si="39"/>
        <v>56000000</v>
      </c>
      <c r="L489" s="288">
        <f t="shared" si="37"/>
        <v>850000</v>
      </c>
      <c r="M489" s="284" t="s">
        <v>965</v>
      </c>
      <c r="N489" s="284" t="s">
        <v>990</v>
      </c>
      <c r="O489" s="284"/>
      <c r="P489" s="403" t="s">
        <v>967</v>
      </c>
      <c r="Q489" s="115"/>
      <c r="R489" s="74"/>
    </row>
    <row r="490" spans="1:19" s="509" customFormat="1" ht="18">
      <c r="A490" s="284">
        <v>375</v>
      </c>
      <c r="B490" s="284">
        <v>9</v>
      </c>
      <c r="C490" s="283" t="s">
        <v>991</v>
      </c>
      <c r="D490" s="284" t="s">
        <v>992</v>
      </c>
      <c r="E490" s="284" t="s">
        <v>964</v>
      </c>
      <c r="F490" s="510">
        <v>40</v>
      </c>
      <c r="G490" s="510">
        <v>840000</v>
      </c>
      <c r="H490" s="510">
        <f t="shared" si="38"/>
        <v>33600000</v>
      </c>
      <c r="I490" s="510">
        <v>40</v>
      </c>
      <c r="J490" s="510">
        <v>2000000</v>
      </c>
      <c r="K490" s="510">
        <f t="shared" si="39"/>
        <v>80000000</v>
      </c>
      <c r="L490" s="288">
        <f t="shared" si="37"/>
        <v>1160000</v>
      </c>
      <c r="M490" s="284" t="s">
        <v>965</v>
      </c>
      <c r="N490" s="284" t="s">
        <v>993</v>
      </c>
      <c r="O490" s="284"/>
      <c r="P490" s="403" t="s">
        <v>967</v>
      </c>
      <c r="Q490" s="115"/>
      <c r="R490" s="74"/>
    </row>
    <row r="491" spans="1:19" s="509" customFormat="1" ht="18">
      <c r="A491" s="284">
        <v>376</v>
      </c>
      <c r="B491" s="284">
        <v>10</v>
      </c>
      <c r="C491" s="283" t="s">
        <v>994</v>
      </c>
      <c r="D491" s="284" t="s">
        <v>992</v>
      </c>
      <c r="E491" s="284" t="s">
        <v>964</v>
      </c>
      <c r="F491" s="510">
        <v>30</v>
      </c>
      <c r="G491" s="510">
        <v>830000</v>
      </c>
      <c r="H491" s="510">
        <f t="shared" si="38"/>
        <v>24900000</v>
      </c>
      <c r="I491" s="510">
        <v>30</v>
      </c>
      <c r="J491" s="510">
        <v>1700000</v>
      </c>
      <c r="K491" s="510">
        <f t="shared" si="39"/>
        <v>51000000</v>
      </c>
      <c r="L491" s="288">
        <f t="shared" si="37"/>
        <v>870000</v>
      </c>
      <c r="M491" s="284" t="s">
        <v>965</v>
      </c>
      <c r="N491" s="284" t="s">
        <v>995</v>
      </c>
      <c r="O491" s="284"/>
      <c r="P491" s="403" t="s">
        <v>967</v>
      </c>
      <c r="Q491" s="115"/>
      <c r="R491" s="74"/>
    </row>
    <row r="492" spans="1:19" s="509" customFormat="1" ht="18">
      <c r="A492" s="284">
        <v>377</v>
      </c>
      <c r="B492" s="284">
        <v>11</v>
      </c>
      <c r="C492" s="283" t="s">
        <v>996</v>
      </c>
      <c r="D492" s="284" t="s">
        <v>992</v>
      </c>
      <c r="E492" s="284" t="s">
        <v>964</v>
      </c>
      <c r="F492" s="510">
        <v>12</v>
      </c>
      <c r="G492" s="510">
        <v>2000000</v>
      </c>
      <c r="H492" s="510">
        <f t="shared" si="38"/>
        <v>24000000</v>
      </c>
      <c r="I492" s="510">
        <v>12</v>
      </c>
      <c r="J492" s="510">
        <v>4300000</v>
      </c>
      <c r="K492" s="510">
        <f t="shared" si="39"/>
        <v>51600000</v>
      </c>
      <c r="L492" s="288">
        <f t="shared" si="37"/>
        <v>2300000</v>
      </c>
      <c r="M492" s="284" t="s">
        <v>965</v>
      </c>
      <c r="N492" s="284" t="s">
        <v>995</v>
      </c>
      <c r="O492" s="284"/>
      <c r="P492" s="403" t="s">
        <v>967</v>
      </c>
      <c r="Q492" s="115"/>
      <c r="R492" s="74"/>
    </row>
    <row r="493" spans="1:19" s="509" customFormat="1" ht="18">
      <c r="A493" s="284">
        <v>378</v>
      </c>
      <c r="B493" s="284">
        <v>12</v>
      </c>
      <c r="C493" s="283" t="s">
        <v>997</v>
      </c>
      <c r="D493" s="284" t="s">
        <v>998</v>
      </c>
      <c r="E493" s="284" t="s">
        <v>999</v>
      </c>
      <c r="F493" s="510">
        <v>300</v>
      </c>
      <c r="G493" s="510">
        <v>420000</v>
      </c>
      <c r="H493" s="510">
        <f t="shared" si="38"/>
        <v>126000000</v>
      </c>
      <c r="I493" s="510">
        <v>300</v>
      </c>
      <c r="J493" s="510">
        <v>450000</v>
      </c>
      <c r="K493" s="510">
        <f t="shared" si="39"/>
        <v>135000000</v>
      </c>
      <c r="L493" s="288">
        <f t="shared" si="37"/>
        <v>30000</v>
      </c>
      <c r="M493" s="284" t="s">
        <v>1000</v>
      </c>
      <c r="N493" s="284" t="s">
        <v>1001</v>
      </c>
      <c r="O493" s="284"/>
      <c r="P493" s="403" t="s">
        <v>967</v>
      </c>
      <c r="Q493" s="115"/>
      <c r="R493" s="74"/>
    </row>
    <row r="494" spans="1:19" s="509" customFormat="1" ht="18">
      <c r="A494" s="284">
        <v>379</v>
      </c>
      <c r="B494" s="284">
        <v>13</v>
      </c>
      <c r="C494" s="283" t="s">
        <v>1002</v>
      </c>
      <c r="D494" s="284" t="s">
        <v>998</v>
      </c>
      <c r="E494" s="284" t="s">
        <v>999</v>
      </c>
      <c r="F494" s="510">
        <v>300</v>
      </c>
      <c r="G494" s="510">
        <v>285600</v>
      </c>
      <c r="H494" s="510">
        <f t="shared" si="38"/>
        <v>85680000</v>
      </c>
      <c r="I494" s="510">
        <v>300</v>
      </c>
      <c r="J494" s="510">
        <v>300000</v>
      </c>
      <c r="K494" s="510">
        <f t="shared" si="39"/>
        <v>90000000</v>
      </c>
      <c r="L494" s="288">
        <f t="shared" si="37"/>
        <v>14400</v>
      </c>
      <c r="M494" s="284" t="s">
        <v>1000</v>
      </c>
      <c r="N494" s="284" t="s">
        <v>1003</v>
      </c>
      <c r="O494" s="284"/>
      <c r="P494" s="403" t="s">
        <v>967</v>
      </c>
      <c r="Q494" s="115"/>
      <c r="R494" s="74"/>
    </row>
    <row r="495" spans="1:19" s="512" customFormat="1" ht="18">
      <c r="A495" s="309">
        <v>380</v>
      </c>
      <c r="B495" s="309">
        <v>14</v>
      </c>
      <c r="C495" s="308" t="s">
        <v>1004</v>
      </c>
      <c r="D495" s="309" t="s">
        <v>998</v>
      </c>
      <c r="E495" s="309" t="s">
        <v>999</v>
      </c>
      <c r="F495" s="510">
        <v>250</v>
      </c>
      <c r="G495" s="511">
        <v>358600</v>
      </c>
      <c r="H495" s="511">
        <f t="shared" si="38"/>
        <v>89650000</v>
      </c>
      <c r="I495" s="510">
        <v>250</v>
      </c>
      <c r="J495" s="510">
        <v>470000</v>
      </c>
      <c r="K495" s="510">
        <f t="shared" si="39"/>
        <v>117500000</v>
      </c>
      <c r="L495" s="288">
        <f t="shared" si="37"/>
        <v>111400</v>
      </c>
      <c r="M495" s="309" t="s">
        <v>1000</v>
      </c>
      <c r="N495" s="284" t="s">
        <v>1005</v>
      </c>
      <c r="O495" s="309"/>
      <c r="P495" s="403" t="s">
        <v>967</v>
      </c>
      <c r="Q495" s="115"/>
      <c r="R495" s="2330"/>
    </row>
    <row r="496" spans="1:19" s="509" customFormat="1" ht="18">
      <c r="A496" s="284">
        <v>381</v>
      </c>
      <c r="B496" s="284">
        <v>15</v>
      </c>
      <c r="C496" s="283" t="s">
        <v>1006</v>
      </c>
      <c r="D496" s="284" t="s">
        <v>998</v>
      </c>
      <c r="E496" s="284" t="s">
        <v>999</v>
      </c>
      <c r="F496" s="510">
        <v>600</v>
      </c>
      <c r="G496" s="510">
        <v>187950</v>
      </c>
      <c r="H496" s="510">
        <f t="shared" si="38"/>
        <v>112770000</v>
      </c>
      <c r="I496" s="510">
        <v>600</v>
      </c>
      <c r="J496" s="510">
        <v>220000</v>
      </c>
      <c r="K496" s="510">
        <f t="shared" si="39"/>
        <v>132000000</v>
      </c>
      <c r="L496" s="288">
        <f t="shared" si="37"/>
        <v>32050</v>
      </c>
      <c r="M496" s="284" t="s">
        <v>1000</v>
      </c>
      <c r="N496" s="284" t="s">
        <v>1007</v>
      </c>
      <c r="O496" s="284"/>
      <c r="P496" s="403" t="s">
        <v>967</v>
      </c>
      <c r="Q496" s="115"/>
      <c r="R496" s="74"/>
    </row>
    <row r="497" spans="1:31" s="509" customFormat="1" ht="18">
      <c r="A497" s="284">
        <v>382</v>
      </c>
      <c r="B497" s="284">
        <v>16</v>
      </c>
      <c r="C497" s="283" t="s">
        <v>1008</v>
      </c>
      <c r="D497" s="284" t="s">
        <v>1009</v>
      </c>
      <c r="E497" s="284" t="s">
        <v>1010</v>
      </c>
      <c r="F497" s="510">
        <v>1750</v>
      </c>
      <c r="G497" s="510">
        <v>115500</v>
      </c>
      <c r="H497" s="510">
        <f t="shared" si="38"/>
        <v>202125000</v>
      </c>
      <c r="I497" s="510">
        <v>1750</v>
      </c>
      <c r="J497" s="510">
        <v>140000</v>
      </c>
      <c r="K497" s="510">
        <f t="shared" si="39"/>
        <v>245000000</v>
      </c>
      <c r="L497" s="288">
        <f t="shared" si="37"/>
        <v>24500</v>
      </c>
      <c r="M497" s="284" t="s">
        <v>1000</v>
      </c>
      <c r="N497" s="284" t="s">
        <v>1011</v>
      </c>
      <c r="O497" s="284"/>
      <c r="P497" s="403" t="s">
        <v>967</v>
      </c>
      <c r="Q497" s="115"/>
      <c r="R497" s="74"/>
    </row>
    <row r="498" spans="1:31" s="509" customFormat="1" ht="18">
      <c r="A498" s="284">
        <v>383</v>
      </c>
      <c r="B498" s="284">
        <v>17</v>
      </c>
      <c r="C498" s="283" t="s">
        <v>1012</v>
      </c>
      <c r="D498" s="284" t="s">
        <v>1009</v>
      </c>
      <c r="E498" s="284" t="s">
        <v>1010</v>
      </c>
      <c r="F498" s="510">
        <v>2000</v>
      </c>
      <c r="G498" s="510">
        <v>115500</v>
      </c>
      <c r="H498" s="510">
        <f t="shared" si="38"/>
        <v>231000000</v>
      </c>
      <c r="I498" s="510">
        <v>2000</v>
      </c>
      <c r="J498" s="510">
        <v>130000</v>
      </c>
      <c r="K498" s="510">
        <f t="shared" si="39"/>
        <v>260000000</v>
      </c>
      <c r="L498" s="288">
        <f t="shared" si="37"/>
        <v>14500</v>
      </c>
      <c r="M498" s="284" t="s">
        <v>1000</v>
      </c>
      <c r="N498" s="284" t="s">
        <v>1013</v>
      </c>
      <c r="O498" s="284"/>
      <c r="P498" s="403" t="s">
        <v>967</v>
      </c>
      <c r="Q498" s="115"/>
      <c r="R498" s="74"/>
    </row>
    <row r="499" spans="1:31" s="509" customFormat="1" ht="18">
      <c r="A499" s="284">
        <v>384</v>
      </c>
      <c r="B499" s="284">
        <v>18</v>
      </c>
      <c r="C499" s="283" t="s">
        <v>1014</v>
      </c>
      <c r="D499" s="284" t="s">
        <v>1015</v>
      </c>
      <c r="E499" s="284" t="s">
        <v>1016</v>
      </c>
      <c r="F499" s="510">
        <v>30000</v>
      </c>
      <c r="G499" s="510">
        <v>4000</v>
      </c>
      <c r="H499" s="510">
        <f t="shared" si="38"/>
        <v>120000000</v>
      </c>
      <c r="I499" s="510">
        <v>30000</v>
      </c>
      <c r="J499" s="510">
        <v>4200</v>
      </c>
      <c r="K499" s="510">
        <f t="shared" si="39"/>
        <v>126000000</v>
      </c>
      <c r="L499" s="288">
        <f t="shared" si="37"/>
        <v>200</v>
      </c>
      <c r="M499" s="284" t="s">
        <v>1017</v>
      </c>
      <c r="N499" s="284"/>
      <c r="O499" s="284"/>
      <c r="P499" s="403" t="s">
        <v>967</v>
      </c>
      <c r="Q499" s="115"/>
      <c r="R499" s="74"/>
    </row>
    <row r="500" spans="1:31" s="509" customFormat="1" ht="18">
      <c r="A500" s="284">
        <v>385</v>
      </c>
      <c r="B500" s="284">
        <v>19</v>
      </c>
      <c r="C500" s="283" t="s">
        <v>1018</v>
      </c>
      <c r="D500" s="284" t="s">
        <v>1019</v>
      </c>
      <c r="E500" s="284" t="s">
        <v>1010</v>
      </c>
      <c r="F500" s="510">
        <v>100</v>
      </c>
      <c r="G500" s="510">
        <v>52500</v>
      </c>
      <c r="H500" s="510">
        <f t="shared" si="38"/>
        <v>5250000</v>
      </c>
      <c r="I500" s="510">
        <v>100</v>
      </c>
      <c r="J500" s="510">
        <v>130000</v>
      </c>
      <c r="K500" s="510">
        <f t="shared" si="39"/>
        <v>13000000</v>
      </c>
      <c r="L500" s="288">
        <f t="shared" si="37"/>
        <v>77500</v>
      </c>
      <c r="M500" s="284" t="s">
        <v>1020</v>
      </c>
      <c r="N500" s="284"/>
      <c r="O500" s="284"/>
      <c r="P500" s="403" t="s">
        <v>967</v>
      </c>
      <c r="Q500" s="115"/>
      <c r="R500" s="74"/>
    </row>
    <row r="501" spans="1:31" s="509" customFormat="1" ht="18">
      <c r="A501" s="513">
        <v>386</v>
      </c>
      <c r="B501" s="513">
        <v>20</v>
      </c>
      <c r="C501" s="514" t="s">
        <v>1021</v>
      </c>
      <c r="D501" s="513" t="s">
        <v>1019</v>
      </c>
      <c r="E501" s="513" t="s">
        <v>1010</v>
      </c>
      <c r="F501" s="515">
        <v>300</v>
      </c>
      <c r="G501" s="515">
        <v>33000</v>
      </c>
      <c r="H501" s="515">
        <f t="shared" si="38"/>
        <v>9900000</v>
      </c>
      <c r="I501" s="515">
        <v>300</v>
      </c>
      <c r="J501" s="515">
        <v>85000</v>
      </c>
      <c r="K501" s="515">
        <f t="shared" si="39"/>
        <v>25500000</v>
      </c>
      <c r="L501" s="516">
        <f t="shared" si="37"/>
        <v>52000</v>
      </c>
      <c r="M501" s="513" t="s">
        <v>1020</v>
      </c>
      <c r="N501" s="513"/>
      <c r="O501" s="513"/>
      <c r="P501" s="420" t="s">
        <v>967</v>
      </c>
      <c r="Q501" s="115"/>
      <c r="R501" s="74"/>
    </row>
    <row r="502" spans="1:31" s="509" customFormat="1">
      <c r="A502" s="2121" t="s">
        <v>1022</v>
      </c>
      <c r="B502" s="2121"/>
      <c r="C502" s="2121"/>
      <c r="D502" s="2121"/>
      <c r="E502" s="2121"/>
      <c r="F502" s="2121"/>
      <c r="G502" s="214"/>
      <c r="H502" s="2292">
        <f>SUM(H482:H501)</f>
        <v>1133906000</v>
      </c>
      <c r="I502" s="214"/>
      <c r="J502" s="214"/>
      <c r="K502" s="517">
        <f>SUM(L482:L501)</f>
        <v>6377700</v>
      </c>
      <c r="L502" s="517"/>
      <c r="M502" s="518"/>
      <c r="N502" s="518"/>
      <c r="O502" s="518"/>
      <c r="P502" s="142"/>
      <c r="Q502" s="115"/>
      <c r="R502" s="74"/>
    </row>
    <row r="504" spans="1:31">
      <c r="A504" s="71" t="s">
        <v>1023</v>
      </c>
    </row>
    <row r="505" spans="1:31" s="12" customFormat="1">
      <c r="A505" s="2092" t="s">
        <v>5</v>
      </c>
      <c r="B505" s="2092" t="s">
        <v>6</v>
      </c>
      <c r="C505" s="2094" t="s">
        <v>7</v>
      </c>
      <c r="D505" s="2096" t="s">
        <v>8</v>
      </c>
      <c r="E505" s="2092" t="s">
        <v>9</v>
      </c>
      <c r="F505" s="2098" t="s">
        <v>10</v>
      </c>
      <c r="G505" s="2098"/>
      <c r="H505" s="2098"/>
      <c r="I505" s="2098" t="s">
        <v>11</v>
      </c>
      <c r="J505" s="2098"/>
      <c r="K505" s="2098"/>
      <c r="L505" s="2099" t="s">
        <v>12</v>
      </c>
      <c r="M505" s="9"/>
      <c r="N505" s="9"/>
      <c r="O505" s="9"/>
      <c r="P505" s="2101" t="s">
        <v>13</v>
      </c>
      <c r="Q505" s="2265" t="s">
        <v>4740</v>
      </c>
      <c r="R505" s="2319" t="s">
        <v>4754</v>
      </c>
      <c r="S505" s="2267" t="s">
        <v>4767</v>
      </c>
      <c r="T505" s="2268"/>
      <c r="U505" s="2268"/>
      <c r="V505" s="2268"/>
      <c r="W505" s="2269"/>
      <c r="X505" s="2267" t="s">
        <v>4768</v>
      </c>
      <c r="Y505" s="2268"/>
      <c r="Z505" s="2268"/>
      <c r="AA505" s="2268"/>
      <c r="AB505" s="2268"/>
      <c r="AC505" s="2268"/>
      <c r="AD505" s="2268"/>
      <c r="AE505" s="2269"/>
    </row>
    <row r="506" spans="1:31" s="16" customFormat="1" ht="27">
      <c r="A506" s="2093"/>
      <c r="B506" s="2093"/>
      <c r="C506" s="2095"/>
      <c r="D506" s="2097"/>
      <c r="E506" s="2093"/>
      <c r="F506" s="13" t="s">
        <v>14</v>
      </c>
      <c r="G506" s="13" t="s">
        <v>15</v>
      </c>
      <c r="H506" s="13" t="s">
        <v>16</v>
      </c>
      <c r="I506" s="13" t="s">
        <v>14</v>
      </c>
      <c r="J506" s="13" t="s">
        <v>15</v>
      </c>
      <c r="K506" s="13" t="s">
        <v>16</v>
      </c>
      <c r="L506" s="2100"/>
      <c r="M506" s="14" t="s">
        <v>17</v>
      </c>
      <c r="N506" s="14" t="s">
        <v>18</v>
      </c>
      <c r="O506" s="14" t="s">
        <v>19</v>
      </c>
      <c r="P506" s="2102"/>
      <c r="Q506" s="2266"/>
      <c r="R506" s="2320"/>
      <c r="S506" s="2263" t="s">
        <v>4755</v>
      </c>
      <c r="T506" s="2263" t="s">
        <v>4756</v>
      </c>
      <c r="U506" s="2263" t="s">
        <v>4757</v>
      </c>
      <c r="V506" s="2263" t="s">
        <v>4758</v>
      </c>
      <c r="W506" s="2263" t="s">
        <v>4759</v>
      </c>
      <c r="X506" s="2264" t="s">
        <v>4760</v>
      </c>
      <c r="Y506" s="2264" t="s">
        <v>4761</v>
      </c>
      <c r="Z506" s="2264" t="s">
        <v>4762</v>
      </c>
      <c r="AA506" s="2264" t="s">
        <v>4763</v>
      </c>
      <c r="AB506" s="2264" t="s">
        <v>4764</v>
      </c>
      <c r="AC506" s="2264" t="s">
        <v>4765</v>
      </c>
      <c r="AD506" s="2264" t="s">
        <v>4766</v>
      </c>
      <c r="AE506" s="2264" t="s">
        <v>4755</v>
      </c>
    </row>
    <row r="507" spans="1:31" s="24" customFormat="1">
      <c r="A507" s="17">
        <v>1</v>
      </c>
      <c r="B507" s="17">
        <v>2</v>
      </c>
      <c r="C507" s="18">
        <v>3</v>
      </c>
      <c r="D507" s="19">
        <v>4</v>
      </c>
      <c r="E507" s="17">
        <v>5</v>
      </c>
      <c r="F507" s="13">
        <v>6</v>
      </c>
      <c r="G507" s="20">
        <v>7</v>
      </c>
      <c r="H507" s="20">
        <v>8</v>
      </c>
      <c r="I507" s="20"/>
      <c r="J507" s="20">
        <v>9</v>
      </c>
      <c r="K507" s="20">
        <v>10</v>
      </c>
      <c r="L507" s="20">
        <v>11</v>
      </c>
      <c r="M507" s="19">
        <v>9</v>
      </c>
      <c r="N507" s="19">
        <v>10</v>
      </c>
      <c r="O507" s="19">
        <v>11</v>
      </c>
      <c r="P507" s="21">
        <v>12</v>
      </c>
      <c r="Q507" s="22"/>
      <c r="R507" s="2321"/>
      <c r="S507" s="23"/>
    </row>
    <row r="508" spans="1:31" s="509" customFormat="1" ht="18">
      <c r="A508" s="274">
        <v>387</v>
      </c>
      <c r="B508" s="274">
        <v>1</v>
      </c>
      <c r="C508" s="273" t="s">
        <v>1024</v>
      </c>
      <c r="D508" s="274" t="s">
        <v>1025</v>
      </c>
      <c r="E508" s="274" t="s">
        <v>1026</v>
      </c>
      <c r="F508" s="508">
        <v>100</v>
      </c>
      <c r="G508" s="508">
        <v>3400</v>
      </c>
      <c r="H508" s="508">
        <f>+G508*F508</f>
        <v>340000</v>
      </c>
      <c r="I508" s="508">
        <v>100</v>
      </c>
      <c r="J508" s="508">
        <v>3500</v>
      </c>
      <c r="K508" s="508">
        <f>I508*J508</f>
        <v>350000</v>
      </c>
      <c r="L508" s="279">
        <f t="shared" ref="L508:L524" si="40">J508-G508</f>
        <v>100</v>
      </c>
      <c r="M508" s="274" t="s">
        <v>1027</v>
      </c>
      <c r="N508" s="274" t="s">
        <v>1028</v>
      </c>
      <c r="O508" s="274"/>
      <c r="P508" s="400" t="s">
        <v>967</v>
      </c>
      <c r="Q508" s="115"/>
      <c r="R508" s="74"/>
    </row>
    <row r="509" spans="1:31" s="509" customFormat="1" ht="18">
      <c r="A509" s="284">
        <v>388</v>
      </c>
      <c r="B509" s="284">
        <v>2</v>
      </c>
      <c r="C509" s="283" t="s">
        <v>1029</v>
      </c>
      <c r="D509" s="284" t="s">
        <v>1030</v>
      </c>
      <c r="E509" s="284" t="s">
        <v>1026</v>
      </c>
      <c r="F509" s="510">
        <v>200</v>
      </c>
      <c r="G509" s="510">
        <v>7500</v>
      </c>
      <c r="H509" s="510">
        <f t="shared" ref="H509:H524" si="41">+G509*F509</f>
        <v>1500000</v>
      </c>
      <c r="I509" s="510">
        <v>200</v>
      </c>
      <c r="J509" s="510">
        <v>7700</v>
      </c>
      <c r="K509" s="510">
        <f t="shared" ref="K509:K524" si="42">I509*J509</f>
        <v>1540000</v>
      </c>
      <c r="L509" s="288">
        <f t="shared" si="40"/>
        <v>200</v>
      </c>
      <c r="M509" s="284" t="s">
        <v>1027</v>
      </c>
      <c r="N509" s="284" t="s">
        <v>1031</v>
      </c>
      <c r="O509" s="284"/>
      <c r="P509" s="403" t="s">
        <v>967</v>
      </c>
      <c r="Q509" s="115"/>
      <c r="R509" s="74"/>
    </row>
    <row r="510" spans="1:31" s="509" customFormat="1" ht="18">
      <c r="A510" s="284">
        <v>389</v>
      </c>
      <c r="B510" s="284">
        <v>3</v>
      </c>
      <c r="C510" s="283" t="s">
        <v>1032</v>
      </c>
      <c r="D510" s="284" t="s">
        <v>1033</v>
      </c>
      <c r="E510" s="284" t="s">
        <v>1026</v>
      </c>
      <c r="F510" s="510">
        <v>200</v>
      </c>
      <c r="G510" s="510">
        <v>8500</v>
      </c>
      <c r="H510" s="510">
        <f t="shared" si="41"/>
        <v>1700000</v>
      </c>
      <c r="I510" s="510">
        <v>200</v>
      </c>
      <c r="J510" s="510">
        <v>8800</v>
      </c>
      <c r="K510" s="510">
        <f t="shared" si="42"/>
        <v>1760000</v>
      </c>
      <c r="L510" s="288">
        <f t="shared" si="40"/>
        <v>300</v>
      </c>
      <c r="M510" s="284" t="s">
        <v>1027</v>
      </c>
      <c r="N510" s="284" t="s">
        <v>1034</v>
      </c>
      <c r="O510" s="284"/>
      <c r="P510" s="403" t="s">
        <v>967</v>
      </c>
      <c r="Q510" s="115"/>
      <c r="R510" s="74"/>
    </row>
    <row r="511" spans="1:31" s="509" customFormat="1" ht="18">
      <c r="A511" s="284">
        <v>390</v>
      </c>
      <c r="B511" s="284">
        <v>4</v>
      </c>
      <c r="C511" s="283" t="s">
        <v>1035</v>
      </c>
      <c r="D511" s="284" t="s">
        <v>1033</v>
      </c>
      <c r="E511" s="284" t="s">
        <v>1026</v>
      </c>
      <c r="F511" s="510">
        <v>10</v>
      </c>
      <c r="G511" s="510">
        <v>10500</v>
      </c>
      <c r="H511" s="510">
        <f t="shared" si="41"/>
        <v>105000</v>
      </c>
      <c r="I511" s="510">
        <v>10</v>
      </c>
      <c r="J511" s="510">
        <v>11550</v>
      </c>
      <c r="K511" s="510">
        <f t="shared" si="42"/>
        <v>115500</v>
      </c>
      <c r="L511" s="288">
        <f t="shared" si="40"/>
        <v>1050</v>
      </c>
      <c r="M511" s="284" t="s">
        <v>1027</v>
      </c>
      <c r="N511" s="284" t="s">
        <v>1036</v>
      </c>
      <c r="O511" s="284"/>
      <c r="P511" s="403" t="s">
        <v>967</v>
      </c>
      <c r="Q511" s="115"/>
      <c r="R511" s="74"/>
    </row>
    <row r="512" spans="1:31" s="509" customFormat="1" ht="18">
      <c r="A512" s="284">
        <v>391</v>
      </c>
      <c r="B512" s="284">
        <v>5</v>
      </c>
      <c r="C512" s="283" t="s">
        <v>1037</v>
      </c>
      <c r="D512" s="284" t="s">
        <v>1033</v>
      </c>
      <c r="E512" s="284" t="s">
        <v>1026</v>
      </c>
      <c r="F512" s="510">
        <v>10</v>
      </c>
      <c r="G512" s="510">
        <v>12600</v>
      </c>
      <c r="H512" s="510">
        <f t="shared" si="41"/>
        <v>126000</v>
      </c>
      <c r="I512" s="510">
        <v>10</v>
      </c>
      <c r="J512" s="510">
        <v>13000</v>
      </c>
      <c r="K512" s="510">
        <f t="shared" si="42"/>
        <v>130000</v>
      </c>
      <c r="L512" s="288">
        <f t="shared" si="40"/>
        <v>400</v>
      </c>
      <c r="M512" s="284" t="s">
        <v>1027</v>
      </c>
      <c r="N512" s="284" t="s">
        <v>1038</v>
      </c>
      <c r="O512" s="284"/>
      <c r="P512" s="403" t="s">
        <v>967</v>
      </c>
      <c r="Q512" s="115"/>
      <c r="R512" s="74"/>
    </row>
    <row r="513" spans="1:31" s="509" customFormat="1" ht="18">
      <c r="A513" s="284">
        <v>392</v>
      </c>
      <c r="B513" s="284">
        <v>6</v>
      </c>
      <c r="C513" s="283" t="s">
        <v>1039</v>
      </c>
      <c r="D513" s="284" t="s">
        <v>1040</v>
      </c>
      <c r="E513" s="284" t="s">
        <v>1026</v>
      </c>
      <c r="F513" s="510">
        <v>100</v>
      </c>
      <c r="G513" s="510">
        <v>4800</v>
      </c>
      <c r="H513" s="510">
        <f t="shared" si="41"/>
        <v>480000</v>
      </c>
      <c r="I513" s="510">
        <v>100</v>
      </c>
      <c r="J513" s="510">
        <v>4900</v>
      </c>
      <c r="K513" s="510">
        <f t="shared" si="42"/>
        <v>490000</v>
      </c>
      <c r="L513" s="288">
        <f t="shared" si="40"/>
        <v>100</v>
      </c>
      <c r="M513" s="284" t="s">
        <v>1027</v>
      </c>
      <c r="N513" s="284" t="s">
        <v>1041</v>
      </c>
      <c r="O513" s="284"/>
      <c r="P513" s="403" t="s">
        <v>967</v>
      </c>
      <c r="Q513" s="115"/>
      <c r="R513" s="74"/>
    </row>
    <row r="514" spans="1:31" s="509" customFormat="1" ht="18">
      <c r="A514" s="284">
        <v>393</v>
      </c>
      <c r="B514" s="284">
        <v>7</v>
      </c>
      <c r="C514" s="283" t="s">
        <v>1042</v>
      </c>
      <c r="D514" s="284" t="s">
        <v>1040</v>
      </c>
      <c r="E514" s="284" t="s">
        <v>1026</v>
      </c>
      <c r="F514" s="510">
        <v>5</v>
      </c>
      <c r="G514" s="510">
        <v>8400</v>
      </c>
      <c r="H514" s="510">
        <f t="shared" si="41"/>
        <v>42000</v>
      </c>
      <c r="I514" s="510">
        <v>5</v>
      </c>
      <c r="J514" s="510">
        <v>9000</v>
      </c>
      <c r="K514" s="510">
        <f t="shared" si="42"/>
        <v>45000</v>
      </c>
      <c r="L514" s="288">
        <f t="shared" si="40"/>
        <v>600</v>
      </c>
      <c r="M514" s="284" t="s">
        <v>1027</v>
      </c>
      <c r="N514" s="284" t="s">
        <v>1043</v>
      </c>
      <c r="O514" s="284"/>
      <c r="P514" s="403" t="s">
        <v>967</v>
      </c>
      <c r="Q514" s="115"/>
      <c r="R514" s="74"/>
    </row>
    <row r="515" spans="1:31" s="509" customFormat="1" ht="18">
      <c r="A515" s="284">
        <v>394</v>
      </c>
      <c r="B515" s="284">
        <v>8</v>
      </c>
      <c r="C515" s="283" t="s">
        <v>1044</v>
      </c>
      <c r="D515" s="284" t="s">
        <v>1045</v>
      </c>
      <c r="E515" s="284" t="s">
        <v>1026</v>
      </c>
      <c r="F515" s="510">
        <v>50</v>
      </c>
      <c r="G515" s="510">
        <v>33600</v>
      </c>
      <c r="H515" s="510">
        <f t="shared" si="41"/>
        <v>1680000</v>
      </c>
      <c r="I515" s="510">
        <v>50</v>
      </c>
      <c r="J515" s="510">
        <v>34000</v>
      </c>
      <c r="K515" s="510">
        <f t="shared" si="42"/>
        <v>1700000</v>
      </c>
      <c r="L515" s="288">
        <f t="shared" si="40"/>
        <v>400</v>
      </c>
      <c r="M515" s="284" t="s">
        <v>1027</v>
      </c>
      <c r="N515" s="284" t="s">
        <v>1046</v>
      </c>
      <c r="O515" s="284"/>
      <c r="P515" s="403" t="s">
        <v>967</v>
      </c>
      <c r="Q515" s="115"/>
      <c r="R515" s="74"/>
    </row>
    <row r="516" spans="1:31" s="509" customFormat="1" ht="18">
      <c r="A516" s="284">
        <v>395</v>
      </c>
      <c r="B516" s="284">
        <v>9</v>
      </c>
      <c r="C516" s="283" t="s">
        <v>1047</v>
      </c>
      <c r="D516" s="284" t="s">
        <v>1045</v>
      </c>
      <c r="E516" s="284" t="s">
        <v>1026</v>
      </c>
      <c r="F516" s="510">
        <v>100</v>
      </c>
      <c r="G516" s="510">
        <v>52500</v>
      </c>
      <c r="H516" s="510">
        <f t="shared" si="41"/>
        <v>5250000</v>
      </c>
      <c r="I516" s="510">
        <v>100</v>
      </c>
      <c r="J516" s="510">
        <v>57500</v>
      </c>
      <c r="K516" s="510">
        <f t="shared" si="42"/>
        <v>5750000</v>
      </c>
      <c r="L516" s="288">
        <f t="shared" si="40"/>
        <v>5000</v>
      </c>
      <c r="M516" s="284" t="s">
        <v>1027</v>
      </c>
      <c r="N516" s="284" t="s">
        <v>1048</v>
      </c>
      <c r="O516" s="284"/>
      <c r="P516" s="403" t="s">
        <v>967</v>
      </c>
      <c r="Q516" s="115"/>
      <c r="R516" s="74"/>
    </row>
    <row r="517" spans="1:31" s="509" customFormat="1" ht="18">
      <c r="A517" s="284">
        <v>396</v>
      </c>
      <c r="B517" s="284">
        <v>10</v>
      </c>
      <c r="C517" s="283" t="s">
        <v>1049</v>
      </c>
      <c r="D517" s="284" t="s">
        <v>1045</v>
      </c>
      <c r="E517" s="284" t="s">
        <v>1026</v>
      </c>
      <c r="F517" s="510">
        <v>100</v>
      </c>
      <c r="G517" s="510">
        <v>73500</v>
      </c>
      <c r="H517" s="510">
        <f t="shared" si="41"/>
        <v>7350000</v>
      </c>
      <c r="I517" s="510">
        <v>100</v>
      </c>
      <c r="J517" s="510">
        <v>77000</v>
      </c>
      <c r="K517" s="510">
        <f t="shared" si="42"/>
        <v>7700000</v>
      </c>
      <c r="L517" s="288">
        <f t="shared" si="40"/>
        <v>3500</v>
      </c>
      <c r="M517" s="284" t="s">
        <v>1027</v>
      </c>
      <c r="N517" s="284" t="s">
        <v>1050</v>
      </c>
      <c r="O517" s="284"/>
      <c r="P517" s="403" t="s">
        <v>967</v>
      </c>
      <c r="Q517" s="115"/>
      <c r="R517" s="74"/>
    </row>
    <row r="518" spans="1:31" s="509" customFormat="1" ht="18">
      <c r="A518" s="284">
        <v>397</v>
      </c>
      <c r="B518" s="284">
        <v>11</v>
      </c>
      <c r="C518" s="283" t="s">
        <v>1051</v>
      </c>
      <c r="D518" s="284" t="s">
        <v>1045</v>
      </c>
      <c r="E518" s="284" t="s">
        <v>1026</v>
      </c>
      <c r="F518" s="510">
        <v>20</v>
      </c>
      <c r="G518" s="510">
        <v>88200</v>
      </c>
      <c r="H518" s="510">
        <f t="shared" si="41"/>
        <v>1764000</v>
      </c>
      <c r="I518" s="510">
        <v>20</v>
      </c>
      <c r="J518" s="510">
        <v>90000</v>
      </c>
      <c r="K518" s="510">
        <f t="shared" si="42"/>
        <v>1800000</v>
      </c>
      <c r="L518" s="288">
        <f t="shared" si="40"/>
        <v>1800</v>
      </c>
      <c r="M518" s="284" t="s">
        <v>1027</v>
      </c>
      <c r="N518" s="284" t="s">
        <v>1052</v>
      </c>
      <c r="O518" s="284"/>
      <c r="P518" s="403" t="s">
        <v>967</v>
      </c>
      <c r="Q518" s="115"/>
      <c r="R518" s="74"/>
    </row>
    <row r="519" spans="1:31" s="509" customFormat="1" ht="18">
      <c r="A519" s="284">
        <v>398</v>
      </c>
      <c r="B519" s="284">
        <v>12</v>
      </c>
      <c r="C519" s="283" t="s">
        <v>1053</v>
      </c>
      <c r="D519" s="284" t="s">
        <v>1045</v>
      </c>
      <c r="E519" s="284" t="s">
        <v>1026</v>
      </c>
      <c r="F519" s="510">
        <v>10</v>
      </c>
      <c r="G519" s="510">
        <v>121800</v>
      </c>
      <c r="H519" s="510">
        <f t="shared" si="41"/>
        <v>1218000</v>
      </c>
      <c r="I519" s="510">
        <v>10</v>
      </c>
      <c r="J519" s="510">
        <v>125000</v>
      </c>
      <c r="K519" s="510">
        <f t="shared" si="42"/>
        <v>1250000</v>
      </c>
      <c r="L519" s="288">
        <f t="shared" si="40"/>
        <v>3200</v>
      </c>
      <c r="M519" s="284" t="s">
        <v>1027</v>
      </c>
      <c r="N519" s="284" t="s">
        <v>1054</v>
      </c>
      <c r="O519" s="284"/>
      <c r="P519" s="403" t="s">
        <v>967</v>
      </c>
      <c r="Q519" s="115"/>
      <c r="R519" s="74"/>
    </row>
    <row r="520" spans="1:31" s="509" customFormat="1" ht="18">
      <c r="A520" s="284">
        <v>399</v>
      </c>
      <c r="B520" s="284">
        <v>13</v>
      </c>
      <c r="C520" s="283" t="s">
        <v>1055</v>
      </c>
      <c r="D520" s="284" t="s">
        <v>1045</v>
      </c>
      <c r="E520" s="284" t="s">
        <v>1026</v>
      </c>
      <c r="F520" s="510">
        <v>10</v>
      </c>
      <c r="G520" s="510">
        <v>42000</v>
      </c>
      <c r="H520" s="510">
        <f t="shared" si="41"/>
        <v>420000</v>
      </c>
      <c r="I520" s="510">
        <v>10</v>
      </c>
      <c r="J520" s="510">
        <v>44000</v>
      </c>
      <c r="K520" s="510">
        <f t="shared" si="42"/>
        <v>440000</v>
      </c>
      <c r="L520" s="288">
        <f t="shared" si="40"/>
        <v>2000</v>
      </c>
      <c r="M520" s="284" t="s">
        <v>1027</v>
      </c>
      <c r="N520" s="284"/>
      <c r="O520" s="284"/>
      <c r="P520" s="403" t="s">
        <v>967</v>
      </c>
      <c r="Q520" s="115"/>
      <c r="R520" s="74"/>
    </row>
    <row r="521" spans="1:31" s="509" customFormat="1" ht="18">
      <c r="A521" s="284">
        <v>400</v>
      </c>
      <c r="B521" s="284">
        <v>14</v>
      </c>
      <c r="C521" s="283" t="s">
        <v>1056</v>
      </c>
      <c r="D521" s="284" t="s">
        <v>1045</v>
      </c>
      <c r="E521" s="284" t="s">
        <v>1026</v>
      </c>
      <c r="F521" s="510">
        <v>100</v>
      </c>
      <c r="G521" s="510">
        <v>64000</v>
      </c>
      <c r="H521" s="510">
        <f t="shared" si="41"/>
        <v>6400000</v>
      </c>
      <c r="I521" s="510">
        <v>100</v>
      </c>
      <c r="J521" s="510">
        <v>65000</v>
      </c>
      <c r="K521" s="510">
        <f t="shared" si="42"/>
        <v>6500000</v>
      </c>
      <c r="L521" s="288">
        <f t="shared" si="40"/>
        <v>1000</v>
      </c>
      <c r="M521" s="284" t="s">
        <v>1027</v>
      </c>
      <c r="N521" s="284"/>
      <c r="O521" s="284"/>
      <c r="P521" s="403" t="s">
        <v>967</v>
      </c>
      <c r="Q521" s="115"/>
      <c r="R521" s="74"/>
    </row>
    <row r="522" spans="1:31" s="509" customFormat="1" ht="18">
      <c r="A522" s="284">
        <v>401</v>
      </c>
      <c r="B522" s="284">
        <v>15</v>
      </c>
      <c r="C522" s="283" t="s">
        <v>1057</v>
      </c>
      <c r="D522" s="284" t="s">
        <v>1045</v>
      </c>
      <c r="E522" s="284" t="s">
        <v>1026</v>
      </c>
      <c r="F522" s="510">
        <v>100</v>
      </c>
      <c r="G522" s="510">
        <v>80000</v>
      </c>
      <c r="H522" s="510">
        <f t="shared" si="41"/>
        <v>8000000</v>
      </c>
      <c r="I522" s="510">
        <v>100</v>
      </c>
      <c r="J522" s="510">
        <v>81000</v>
      </c>
      <c r="K522" s="510">
        <f t="shared" si="42"/>
        <v>8100000</v>
      </c>
      <c r="L522" s="288">
        <f t="shared" si="40"/>
        <v>1000</v>
      </c>
      <c r="M522" s="284" t="s">
        <v>1027</v>
      </c>
      <c r="N522" s="284"/>
      <c r="O522" s="284"/>
      <c r="P522" s="403" t="s">
        <v>967</v>
      </c>
      <c r="Q522" s="115"/>
      <c r="R522" s="74"/>
    </row>
    <row r="523" spans="1:31" s="509" customFormat="1" ht="18">
      <c r="A523" s="284">
        <v>402</v>
      </c>
      <c r="B523" s="284">
        <v>16</v>
      </c>
      <c r="C523" s="283" t="s">
        <v>1058</v>
      </c>
      <c r="D523" s="284" t="s">
        <v>1045</v>
      </c>
      <c r="E523" s="284" t="s">
        <v>1026</v>
      </c>
      <c r="F523" s="510">
        <v>5</v>
      </c>
      <c r="G523" s="510">
        <v>90300</v>
      </c>
      <c r="H523" s="510">
        <f t="shared" si="41"/>
        <v>451500</v>
      </c>
      <c r="I523" s="510">
        <v>5</v>
      </c>
      <c r="J523" s="510">
        <v>92000</v>
      </c>
      <c r="K523" s="510">
        <f t="shared" si="42"/>
        <v>460000</v>
      </c>
      <c r="L523" s="288">
        <f t="shared" si="40"/>
        <v>1700</v>
      </c>
      <c r="M523" s="284" t="s">
        <v>1027</v>
      </c>
      <c r="N523" s="284"/>
      <c r="O523" s="284"/>
      <c r="P523" s="403" t="s">
        <v>967</v>
      </c>
      <c r="Q523" s="115"/>
      <c r="R523" s="74"/>
    </row>
    <row r="524" spans="1:31" s="509" customFormat="1" ht="18">
      <c r="A524" s="513">
        <v>403</v>
      </c>
      <c r="B524" s="513">
        <v>17</v>
      </c>
      <c r="C524" s="514" t="s">
        <v>1059</v>
      </c>
      <c r="D524" s="513" t="s">
        <v>1045</v>
      </c>
      <c r="E524" s="513" t="s">
        <v>1026</v>
      </c>
      <c r="F524" s="515">
        <v>5</v>
      </c>
      <c r="G524" s="515">
        <v>159600</v>
      </c>
      <c r="H524" s="515">
        <f t="shared" si="41"/>
        <v>798000</v>
      </c>
      <c r="I524" s="515">
        <v>5</v>
      </c>
      <c r="J524" s="515">
        <v>161000</v>
      </c>
      <c r="K524" s="515">
        <f t="shared" si="42"/>
        <v>805000</v>
      </c>
      <c r="L524" s="516">
        <f t="shared" si="40"/>
        <v>1400</v>
      </c>
      <c r="M524" s="513" t="s">
        <v>1027</v>
      </c>
      <c r="N524" s="513"/>
      <c r="O524" s="513"/>
      <c r="P524" s="420" t="s">
        <v>967</v>
      </c>
      <c r="Q524" s="115"/>
      <c r="R524" s="74"/>
    </row>
    <row r="525" spans="1:31" s="509" customFormat="1">
      <c r="A525" s="2121" t="s">
        <v>1060</v>
      </c>
      <c r="B525" s="2121"/>
      <c r="C525" s="2121"/>
      <c r="D525" s="2121"/>
      <c r="E525" s="2121"/>
      <c r="F525" s="2121"/>
      <c r="G525" s="2121"/>
      <c r="H525" s="2293">
        <f>SUM(H508:H524)</f>
        <v>37624500</v>
      </c>
      <c r="I525" s="518"/>
      <c r="J525" s="518"/>
      <c r="K525" s="519">
        <f>SUM(K508:K524)</f>
        <v>38935500</v>
      </c>
      <c r="L525" s="214"/>
      <c r="M525" s="214"/>
      <c r="N525" s="214"/>
      <c r="O525" s="214"/>
      <c r="P525" s="142"/>
      <c r="Q525" s="115"/>
      <c r="R525" s="74"/>
    </row>
    <row r="527" spans="1:31">
      <c r="A527" s="71" t="s">
        <v>1061</v>
      </c>
    </row>
    <row r="528" spans="1:31" s="12" customFormat="1">
      <c r="A528" s="2092" t="s">
        <v>5</v>
      </c>
      <c r="B528" s="2092" t="s">
        <v>6</v>
      </c>
      <c r="C528" s="2094" t="s">
        <v>7</v>
      </c>
      <c r="D528" s="2096" t="s">
        <v>8</v>
      </c>
      <c r="E528" s="2092" t="s">
        <v>9</v>
      </c>
      <c r="F528" s="2098" t="s">
        <v>10</v>
      </c>
      <c r="G528" s="2098"/>
      <c r="H528" s="2098"/>
      <c r="I528" s="2098" t="s">
        <v>11</v>
      </c>
      <c r="J528" s="2098"/>
      <c r="K528" s="2098"/>
      <c r="L528" s="2099" t="s">
        <v>12</v>
      </c>
      <c r="M528" s="9"/>
      <c r="N528" s="9"/>
      <c r="O528" s="9"/>
      <c r="P528" s="2101" t="s">
        <v>13</v>
      </c>
      <c r="Q528" s="2265" t="s">
        <v>4740</v>
      </c>
      <c r="R528" s="2319" t="s">
        <v>4754</v>
      </c>
      <c r="S528" s="2267" t="s">
        <v>4767</v>
      </c>
      <c r="T528" s="2268"/>
      <c r="U528" s="2268"/>
      <c r="V528" s="2268"/>
      <c r="W528" s="2269"/>
      <c r="X528" s="2267" t="s">
        <v>4768</v>
      </c>
      <c r="Y528" s="2268"/>
      <c r="Z528" s="2268"/>
      <c r="AA528" s="2268"/>
      <c r="AB528" s="2268"/>
      <c r="AC528" s="2268"/>
      <c r="AD528" s="2268"/>
      <c r="AE528" s="2269"/>
    </row>
    <row r="529" spans="1:31" s="16" customFormat="1" ht="27">
      <c r="A529" s="2093"/>
      <c r="B529" s="2093"/>
      <c r="C529" s="2095"/>
      <c r="D529" s="2097"/>
      <c r="E529" s="2093"/>
      <c r="F529" s="13" t="s">
        <v>14</v>
      </c>
      <c r="G529" s="13" t="s">
        <v>15</v>
      </c>
      <c r="H529" s="13" t="s">
        <v>16</v>
      </c>
      <c r="I529" s="13" t="s">
        <v>14</v>
      </c>
      <c r="J529" s="13" t="s">
        <v>15</v>
      </c>
      <c r="K529" s="13" t="s">
        <v>16</v>
      </c>
      <c r="L529" s="2100"/>
      <c r="M529" s="14" t="s">
        <v>17</v>
      </c>
      <c r="N529" s="14" t="s">
        <v>18</v>
      </c>
      <c r="O529" s="14" t="s">
        <v>19</v>
      </c>
      <c r="P529" s="2102"/>
      <c r="Q529" s="2266"/>
      <c r="R529" s="2320"/>
      <c r="S529" s="2263" t="s">
        <v>4755</v>
      </c>
      <c r="T529" s="2263" t="s">
        <v>4756</v>
      </c>
      <c r="U529" s="2263" t="s">
        <v>4757</v>
      </c>
      <c r="V529" s="2263" t="s">
        <v>4758</v>
      </c>
      <c r="W529" s="2263" t="s">
        <v>4759</v>
      </c>
      <c r="X529" s="2264" t="s">
        <v>4760</v>
      </c>
      <c r="Y529" s="2264" t="s">
        <v>4761</v>
      </c>
      <c r="Z529" s="2264" t="s">
        <v>4762</v>
      </c>
      <c r="AA529" s="2264" t="s">
        <v>4763</v>
      </c>
      <c r="AB529" s="2264" t="s">
        <v>4764</v>
      </c>
      <c r="AC529" s="2264" t="s">
        <v>4765</v>
      </c>
      <c r="AD529" s="2264" t="s">
        <v>4766</v>
      </c>
      <c r="AE529" s="2264" t="s">
        <v>4755</v>
      </c>
    </row>
    <row r="530" spans="1:31" s="70" customFormat="1">
      <c r="A530" s="331">
        <v>1</v>
      </c>
      <c r="B530" s="331">
        <v>2</v>
      </c>
      <c r="C530" s="63">
        <v>3</v>
      </c>
      <c r="D530" s="331">
        <v>4</v>
      </c>
      <c r="E530" s="331">
        <v>5</v>
      </c>
      <c r="F530" s="57">
        <v>6</v>
      </c>
      <c r="G530" s="57">
        <v>7</v>
      </c>
      <c r="H530" s="331">
        <v>8</v>
      </c>
      <c r="I530" s="331">
        <v>9</v>
      </c>
      <c r="J530" s="331">
        <v>10</v>
      </c>
      <c r="K530" s="331">
        <v>11</v>
      </c>
      <c r="L530" s="331">
        <v>12</v>
      </c>
      <c r="M530" s="331">
        <v>9</v>
      </c>
      <c r="N530" s="331">
        <v>10</v>
      </c>
      <c r="O530" s="331">
        <v>11</v>
      </c>
      <c r="P530" s="21">
        <v>13</v>
      </c>
      <c r="Q530" s="22"/>
      <c r="R530" s="2321"/>
      <c r="S530" s="485"/>
    </row>
    <row r="531" spans="1:31" ht="18">
      <c r="A531" s="76">
        <v>404</v>
      </c>
      <c r="B531" s="76">
        <v>1</v>
      </c>
      <c r="C531" s="520" t="s">
        <v>1062</v>
      </c>
      <c r="D531" s="76" t="s">
        <v>208</v>
      </c>
      <c r="E531" s="521" t="s">
        <v>47</v>
      </c>
      <c r="F531" s="522">
        <v>10000</v>
      </c>
      <c r="G531" s="523">
        <v>94.5</v>
      </c>
      <c r="H531" s="524">
        <f>G531*F531</f>
        <v>945000</v>
      </c>
      <c r="I531" s="31">
        <v>10000</v>
      </c>
      <c r="J531" s="525">
        <v>146</v>
      </c>
      <c r="K531" s="188">
        <f>I531*J531</f>
        <v>1460000</v>
      </c>
      <c r="L531" s="30">
        <f t="shared" ref="L531:L551" si="43">J531-G531</f>
        <v>51.5</v>
      </c>
      <c r="M531" s="526" t="s">
        <v>1063</v>
      </c>
      <c r="N531" s="82" t="s">
        <v>1064</v>
      </c>
      <c r="O531" s="82" t="s">
        <v>1065</v>
      </c>
      <c r="P531" s="227" t="s">
        <v>1066</v>
      </c>
      <c r="Q531" s="22"/>
    </row>
    <row r="532" spans="1:31" ht="18">
      <c r="A532" s="37">
        <f>1+A531</f>
        <v>405</v>
      </c>
      <c r="B532" s="37">
        <f>1+B531</f>
        <v>2</v>
      </c>
      <c r="C532" s="527" t="s">
        <v>1067</v>
      </c>
      <c r="D532" s="37" t="s">
        <v>208</v>
      </c>
      <c r="E532" s="528" t="s">
        <v>47</v>
      </c>
      <c r="F532" s="529">
        <v>20000</v>
      </c>
      <c r="G532" s="530">
        <v>63</v>
      </c>
      <c r="H532" s="531">
        <f t="shared" ref="H532:H551" si="44">G532*F532</f>
        <v>1260000</v>
      </c>
      <c r="I532" s="43">
        <v>20000</v>
      </c>
      <c r="J532" s="532">
        <v>138.6</v>
      </c>
      <c r="K532" s="44">
        <f t="shared" ref="K532:K547" si="45">I532*J532</f>
        <v>2772000</v>
      </c>
      <c r="L532" s="30">
        <f t="shared" si="43"/>
        <v>75.599999999999994</v>
      </c>
      <c r="M532" s="533" t="s">
        <v>1063</v>
      </c>
      <c r="N532" s="89" t="s">
        <v>1068</v>
      </c>
      <c r="O532" s="89" t="s">
        <v>1069</v>
      </c>
      <c r="P532" s="46" t="s">
        <v>1066</v>
      </c>
      <c r="Q532" s="22"/>
    </row>
    <row r="533" spans="1:31" ht="18">
      <c r="A533" s="37">
        <f t="shared" ref="A533:B548" si="46">1+A532</f>
        <v>406</v>
      </c>
      <c r="B533" s="37">
        <f t="shared" si="46"/>
        <v>3</v>
      </c>
      <c r="C533" s="527" t="s">
        <v>1070</v>
      </c>
      <c r="D533" s="37" t="s">
        <v>1071</v>
      </c>
      <c r="E533" s="528" t="s">
        <v>47</v>
      </c>
      <c r="F533" s="534">
        <v>500</v>
      </c>
      <c r="G533" s="530">
        <v>6300</v>
      </c>
      <c r="H533" s="531">
        <f t="shared" si="44"/>
        <v>3150000</v>
      </c>
      <c r="I533" s="43">
        <v>500</v>
      </c>
      <c r="J533" s="532">
        <v>6451.2</v>
      </c>
      <c r="K533" s="44">
        <f t="shared" si="45"/>
        <v>3225600</v>
      </c>
      <c r="L533" s="30">
        <f t="shared" si="43"/>
        <v>151.19999999999982</v>
      </c>
      <c r="M533" s="533" t="s">
        <v>1072</v>
      </c>
      <c r="N533" s="89" t="s">
        <v>1073</v>
      </c>
      <c r="O533" s="89" t="s">
        <v>1074</v>
      </c>
      <c r="P533" s="46" t="s">
        <v>1066</v>
      </c>
      <c r="Q533" s="22"/>
    </row>
    <row r="534" spans="1:31" ht="18">
      <c r="A534" s="37">
        <f t="shared" si="46"/>
        <v>407</v>
      </c>
      <c r="B534" s="37">
        <f t="shared" si="46"/>
        <v>4</v>
      </c>
      <c r="C534" s="535" t="s">
        <v>1075</v>
      </c>
      <c r="D534" s="37" t="s">
        <v>645</v>
      </c>
      <c r="E534" s="528" t="s">
        <v>47</v>
      </c>
      <c r="F534" s="529">
        <v>110000</v>
      </c>
      <c r="G534" s="530">
        <v>840</v>
      </c>
      <c r="H534" s="531">
        <f t="shared" si="44"/>
        <v>92400000</v>
      </c>
      <c r="I534" s="43">
        <v>110000</v>
      </c>
      <c r="J534" s="532">
        <v>1512</v>
      </c>
      <c r="K534" s="44">
        <f t="shared" si="45"/>
        <v>166320000</v>
      </c>
      <c r="L534" s="30">
        <f t="shared" si="43"/>
        <v>672</v>
      </c>
      <c r="M534" s="533" t="s">
        <v>1063</v>
      </c>
      <c r="N534" s="89" t="s">
        <v>1076</v>
      </c>
      <c r="O534" s="89" t="s">
        <v>1077</v>
      </c>
      <c r="P534" s="46" t="s">
        <v>1066</v>
      </c>
      <c r="Q534" s="22"/>
    </row>
    <row r="535" spans="1:31" ht="18">
      <c r="A535" s="37">
        <f t="shared" si="46"/>
        <v>408</v>
      </c>
      <c r="B535" s="37">
        <f t="shared" si="46"/>
        <v>5</v>
      </c>
      <c r="C535" s="527" t="s">
        <v>1078</v>
      </c>
      <c r="D535" s="37" t="s">
        <v>645</v>
      </c>
      <c r="E535" s="528" t="s">
        <v>47</v>
      </c>
      <c r="F535" s="529">
        <v>180000</v>
      </c>
      <c r="G535" s="530">
        <v>840</v>
      </c>
      <c r="H535" s="531">
        <f t="shared" si="44"/>
        <v>151200000</v>
      </c>
      <c r="I535" s="43">
        <v>180000</v>
      </c>
      <c r="J535" s="532">
        <v>1638</v>
      </c>
      <c r="K535" s="44">
        <f t="shared" si="45"/>
        <v>294840000</v>
      </c>
      <c r="L535" s="30">
        <f t="shared" si="43"/>
        <v>798</v>
      </c>
      <c r="M535" s="533" t="s">
        <v>1063</v>
      </c>
      <c r="N535" s="89" t="s">
        <v>1079</v>
      </c>
      <c r="O535" s="89" t="s">
        <v>1080</v>
      </c>
      <c r="P535" s="46" t="s">
        <v>1066</v>
      </c>
      <c r="Q535" s="22"/>
    </row>
    <row r="536" spans="1:31" ht="18">
      <c r="A536" s="37">
        <f t="shared" si="46"/>
        <v>409</v>
      </c>
      <c r="B536" s="37">
        <f t="shared" si="46"/>
        <v>6</v>
      </c>
      <c r="C536" s="527" t="s">
        <v>1081</v>
      </c>
      <c r="D536" s="37" t="s">
        <v>1082</v>
      </c>
      <c r="E536" s="528" t="s">
        <v>981</v>
      </c>
      <c r="F536" s="529">
        <v>350</v>
      </c>
      <c r="G536" s="530">
        <v>73500</v>
      </c>
      <c r="H536" s="531">
        <f t="shared" si="44"/>
        <v>25725000</v>
      </c>
      <c r="I536" s="43">
        <v>350</v>
      </c>
      <c r="J536" s="532">
        <v>138600</v>
      </c>
      <c r="K536" s="44">
        <f t="shared" si="45"/>
        <v>48510000</v>
      </c>
      <c r="L536" s="30">
        <f t="shared" si="43"/>
        <v>65100</v>
      </c>
      <c r="M536" s="536" t="s">
        <v>1083</v>
      </c>
      <c r="N536" s="89" t="s">
        <v>1084</v>
      </c>
      <c r="O536" s="89" t="s">
        <v>1085</v>
      </c>
      <c r="P536" s="46" t="s">
        <v>1066</v>
      </c>
      <c r="Q536" s="22"/>
    </row>
    <row r="537" spans="1:31" ht="18">
      <c r="A537" s="37">
        <f t="shared" si="46"/>
        <v>410</v>
      </c>
      <c r="B537" s="37">
        <f t="shared" si="46"/>
        <v>7</v>
      </c>
      <c r="C537" s="535" t="s">
        <v>1086</v>
      </c>
      <c r="D537" s="37" t="s">
        <v>1087</v>
      </c>
      <c r="E537" s="528" t="s">
        <v>47</v>
      </c>
      <c r="F537" s="529">
        <v>2500</v>
      </c>
      <c r="G537" s="530">
        <v>1890</v>
      </c>
      <c r="H537" s="531">
        <f t="shared" si="44"/>
        <v>4725000</v>
      </c>
      <c r="I537" s="43">
        <v>2500</v>
      </c>
      <c r="J537" s="532">
        <v>2520</v>
      </c>
      <c r="K537" s="44">
        <f t="shared" si="45"/>
        <v>6300000</v>
      </c>
      <c r="L537" s="30">
        <f t="shared" si="43"/>
        <v>630</v>
      </c>
      <c r="M537" s="533" t="s">
        <v>1088</v>
      </c>
      <c r="N537" s="89" t="s">
        <v>1089</v>
      </c>
      <c r="O537" s="89" t="s">
        <v>1090</v>
      </c>
      <c r="P537" s="46" t="s">
        <v>1066</v>
      </c>
      <c r="Q537" s="22"/>
    </row>
    <row r="538" spans="1:31" ht="18">
      <c r="A538" s="37">
        <f t="shared" si="46"/>
        <v>411</v>
      </c>
      <c r="B538" s="37">
        <f t="shared" si="46"/>
        <v>8</v>
      </c>
      <c r="C538" s="537" t="s">
        <v>1091</v>
      </c>
      <c r="D538" s="37" t="s">
        <v>1092</v>
      </c>
      <c r="E538" s="538" t="s">
        <v>435</v>
      </c>
      <c r="F538" s="539">
        <v>10</v>
      </c>
      <c r="G538" s="530">
        <v>1144000</v>
      </c>
      <c r="H538" s="531">
        <f t="shared" si="44"/>
        <v>11440000</v>
      </c>
      <c r="I538" s="43">
        <v>10</v>
      </c>
      <c r="J538" s="532">
        <v>1200000</v>
      </c>
      <c r="K538" s="44">
        <f t="shared" si="45"/>
        <v>12000000</v>
      </c>
      <c r="L538" s="30">
        <f t="shared" si="43"/>
        <v>56000</v>
      </c>
      <c r="M538" s="536" t="s">
        <v>1093</v>
      </c>
      <c r="N538" s="37" t="s">
        <v>1094</v>
      </c>
      <c r="O538" s="37" t="s">
        <v>1090</v>
      </c>
      <c r="P538" s="46" t="s">
        <v>1066</v>
      </c>
      <c r="Q538" s="22"/>
    </row>
    <row r="539" spans="1:31" ht="18">
      <c r="A539" s="37">
        <f t="shared" si="46"/>
        <v>412</v>
      </c>
      <c r="B539" s="37">
        <f t="shared" si="46"/>
        <v>9</v>
      </c>
      <c r="C539" s="537" t="s">
        <v>1095</v>
      </c>
      <c r="D539" s="37" t="s">
        <v>1092</v>
      </c>
      <c r="E539" s="538" t="s">
        <v>435</v>
      </c>
      <c r="F539" s="539">
        <v>100</v>
      </c>
      <c r="G539" s="530">
        <v>550000</v>
      </c>
      <c r="H539" s="531">
        <f t="shared" si="44"/>
        <v>55000000</v>
      </c>
      <c r="I539" s="43">
        <v>100</v>
      </c>
      <c r="J539" s="532">
        <v>792000</v>
      </c>
      <c r="K539" s="44">
        <f t="shared" si="45"/>
        <v>79200000</v>
      </c>
      <c r="L539" s="30">
        <f t="shared" si="43"/>
        <v>242000</v>
      </c>
      <c r="M539" s="536" t="s">
        <v>1093</v>
      </c>
      <c r="N539" s="37" t="s">
        <v>1096</v>
      </c>
      <c r="O539" s="37" t="s">
        <v>1090</v>
      </c>
      <c r="P539" s="46" t="s">
        <v>1066</v>
      </c>
      <c r="Q539" s="22"/>
    </row>
    <row r="540" spans="1:31" ht="18">
      <c r="A540" s="37">
        <f t="shared" si="46"/>
        <v>413</v>
      </c>
      <c r="B540" s="37">
        <f>1+B539</f>
        <v>10</v>
      </c>
      <c r="C540" s="540" t="s">
        <v>1097</v>
      </c>
      <c r="D540" s="37" t="s">
        <v>1098</v>
      </c>
      <c r="E540" s="538" t="s">
        <v>435</v>
      </c>
      <c r="F540" s="529">
        <v>2000</v>
      </c>
      <c r="G540" s="530">
        <v>18900</v>
      </c>
      <c r="H540" s="531">
        <f t="shared" si="44"/>
        <v>37800000</v>
      </c>
      <c r="I540" s="43">
        <v>2000</v>
      </c>
      <c r="J540" s="532">
        <v>27720</v>
      </c>
      <c r="K540" s="44">
        <f t="shared" si="45"/>
        <v>55440000</v>
      </c>
      <c r="L540" s="30">
        <f t="shared" si="43"/>
        <v>8820</v>
      </c>
      <c r="M540" s="536" t="s">
        <v>1099</v>
      </c>
      <c r="N540" s="89" t="s">
        <v>1100</v>
      </c>
      <c r="O540" s="89" t="s">
        <v>1090</v>
      </c>
      <c r="P540" s="46" t="s">
        <v>1066</v>
      </c>
      <c r="Q540" s="22"/>
    </row>
    <row r="541" spans="1:31" ht="18">
      <c r="A541" s="37">
        <f t="shared" si="46"/>
        <v>414</v>
      </c>
      <c r="B541" s="37">
        <f t="shared" si="46"/>
        <v>11</v>
      </c>
      <c r="C541" s="541" t="s">
        <v>1101</v>
      </c>
      <c r="D541" s="37" t="s">
        <v>1102</v>
      </c>
      <c r="E541" s="542" t="s">
        <v>1103</v>
      </c>
      <c r="F541" s="543">
        <v>30</v>
      </c>
      <c r="G541" s="530">
        <v>770000</v>
      </c>
      <c r="H541" s="531">
        <f t="shared" si="44"/>
        <v>23100000</v>
      </c>
      <c r="I541" s="43">
        <v>30</v>
      </c>
      <c r="J541" s="532">
        <v>924000</v>
      </c>
      <c r="K541" s="44">
        <f t="shared" si="45"/>
        <v>27720000</v>
      </c>
      <c r="L541" s="30">
        <f t="shared" si="43"/>
        <v>154000</v>
      </c>
      <c r="M541" s="544" t="s">
        <v>1104</v>
      </c>
      <c r="N541" s="37" t="s">
        <v>1105</v>
      </c>
      <c r="O541" s="37" t="s">
        <v>1106</v>
      </c>
      <c r="P541" s="46" t="s">
        <v>1066</v>
      </c>
      <c r="Q541" s="22"/>
    </row>
    <row r="542" spans="1:31" s="159" customFormat="1" ht="18">
      <c r="A542" s="545">
        <f t="shared" si="46"/>
        <v>415</v>
      </c>
      <c r="B542" s="545">
        <f t="shared" si="46"/>
        <v>12</v>
      </c>
      <c r="C542" s="546" t="s">
        <v>1107</v>
      </c>
      <c r="D542" s="545" t="s">
        <v>1108</v>
      </c>
      <c r="E542" s="547" t="s">
        <v>481</v>
      </c>
      <c r="F542" s="548">
        <v>700</v>
      </c>
      <c r="G542" s="549">
        <v>37800</v>
      </c>
      <c r="H542" s="549">
        <f t="shared" si="44"/>
        <v>26460000</v>
      </c>
      <c r="I542" s="549">
        <v>700</v>
      </c>
      <c r="J542" s="549">
        <v>37800</v>
      </c>
      <c r="K542" s="549">
        <f t="shared" si="45"/>
        <v>26460000</v>
      </c>
      <c r="L542" s="154">
        <f t="shared" si="43"/>
        <v>0</v>
      </c>
      <c r="M542" s="547" t="s">
        <v>1109</v>
      </c>
      <c r="N542" s="545" t="s">
        <v>1110</v>
      </c>
      <c r="O542" s="545" t="s">
        <v>1111</v>
      </c>
      <c r="P542" s="464" t="s">
        <v>1066</v>
      </c>
      <c r="Q542" s="298"/>
      <c r="R542" s="2323"/>
      <c r="S542" s="158"/>
    </row>
    <row r="543" spans="1:31" ht="18">
      <c r="A543" s="37">
        <f t="shared" si="46"/>
        <v>416</v>
      </c>
      <c r="B543" s="37">
        <f t="shared" si="46"/>
        <v>13</v>
      </c>
      <c r="C543" s="535" t="s">
        <v>1112</v>
      </c>
      <c r="D543" s="37" t="s">
        <v>645</v>
      </c>
      <c r="E543" s="528" t="s">
        <v>47</v>
      </c>
      <c r="F543" s="550">
        <v>150000</v>
      </c>
      <c r="G543" s="530">
        <v>777</v>
      </c>
      <c r="H543" s="531">
        <f t="shared" si="44"/>
        <v>116550000</v>
      </c>
      <c r="I543" s="43">
        <v>150000</v>
      </c>
      <c r="J543" s="532">
        <v>1512</v>
      </c>
      <c r="K543" s="44">
        <f t="shared" si="45"/>
        <v>226800000</v>
      </c>
      <c r="L543" s="30">
        <f t="shared" si="43"/>
        <v>735</v>
      </c>
      <c r="M543" s="533" t="s">
        <v>1063</v>
      </c>
      <c r="N543" s="89" t="s">
        <v>1113</v>
      </c>
      <c r="O543" s="89" t="s">
        <v>1114</v>
      </c>
      <c r="P543" s="46" t="s">
        <v>1066</v>
      </c>
      <c r="Q543" s="22"/>
    </row>
    <row r="544" spans="1:31" ht="18">
      <c r="A544" s="37">
        <f t="shared" si="46"/>
        <v>417</v>
      </c>
      <c r="B544" s="37">
        <f t="shared" si="46"/>
        <v>14</v>
      </c>
      <c r="C544" s="551" t="s">
        <v>1115</v>
      </c>
      <c r="D544" s="37" t="s">
        <v>208</v>
      </c>
      <c r="E544" s="528" t="s">
        <v>47</v>
      </c>
      <c r="F544" s="529">
        <v>15000</v>
      </c>
      <c r="G544" s="530">
        <v>315</v>
      </c>
      <c r="H544" s="531">
        <f t="shared" si="44"/>
        <v>4725000</v>
      </c>
      <c r="I544" s="43">
        <v>15000</v>
      </c>
      <c r="J544" s="532">
        <v>504</v>
      </c>
      <c r="K544" s="44">
        <f t="shared" si="45"/>
        <v>7560000</v>
      </c>
      <c r="L544" s="30">
        <f t="shared" si="43"/>
        <v>189</v>
      </c>
      <c r="M544" s="533" t="s">
        <v>1063</v>
      </c>
      <c r="N544" s="89" t="s">
        <v>1116</v>
      </c>
      <c r="O544" s="89" t="s">
        <v>1117</v>
      </c>
      <c r="P544" s="46" t="s">
        <v>1066</v>
      </c>
      <c r="Q544" s="22"/>
    </row>
    <row r="545" spans="1:31" ht="18">
      <c r="A545" s="37">
        <f>1+A544</f>
        <v>418</v>
      </c>
      <c r="B545" s="37">
        <f t="shared" si="46"/>
        <v>15</v>
      </c>
      <c r="C545" s="535" t="s">
        <v>1118</v>
      </c>
      <c r="D545" s="37" t="s">
        <v>1119</v>
      </c>
      <c r="E545" s="528" t="s">
        <v>47</v>
      </c>
      <c r="F545" s="529">
        <v>1500</v>
      </c>
      <c r="G545" s="530">
        <v>378</v>
      </c>
      <c r="H545" s="531">
        <f t="shared" si="44"/>
        <v>567000</v>
      </c>
      <c r="I545" s="43">
        <v>1500</v>
      </c>
      <c r="J545" s="532">
        <v>720</v>
      </c>
      <c r="K545" s="44">
        <f t="shared" si="45"/>
        <v>1080000</v>
      </c>
      <c r="L545" s="30">
        <f t="shared" si="43"/>
        <v>342</v>
      </c>
      <c r="M545" s="533" t="s">
        <v>1072</v>
      </c>
      <c r="N545" s="89" t="s">
        <v>1120</v>
      </c>
      <c r="O545" s="89" t="s">
        <v>1121</v>
      </c>
      <c r="P545" s="46" t="s">
        <v>1066</v>
      </c>
      <c r="Q545" s="22"/>
    </row>
    <row r="546" spans="1:31" ht="18">
      <c r="A546" s="37">
        <f t="shared" si="46"/>
        <v>419</v>
      </c>
      <c r="B546" s="37">
        <f t="shared" si="46"/>
        <v>16</v>
      </c>
      <c r="C546" s="535" t="s">
        <v>1122</v>
      </c>
      <c r="D546" s="37" t="s">
        <v>1119</v>
      </c>
      <c r="E546" s="528" t="s">
        <v>47</v>
      </c>
      <c r="F546" s="529">
        <v>5000</v>
      </c>
      <c r="G546" s="530">
        <v>840</v>
      </c>
      <c r="H546" s="531">
        <f t="shared" si="44"/>
        <v>4200000</v>
      </c>
      <c r="I546" s="43">
        <v>5000</v>
      </c>
      <c r="J546" s="532">
        <v>1320</v>
      </c>
      <c r="K546" s="44">
        <f t="shared" si="45"/>
        <v>6600000</v>
      </c>
      <c r="L546" s="30">
        <f t="shared" si="43"/>
        <v>480</v>
      </c>
      <c r="M546" s="533" t="s">
        <v>1072</v>
      </c>
      <c r="N546" s="37" t="s">
        <v>1123</v>
      </c>
      <c r="O546" s="37" t="s">
        <v>1121</v>
      </c>
      <c r="P546" s="46" t="s">
        <v>1066</v>
      </c>
      <c r="Q546" s="22"/>
    </row>
    <row r="547" spans="1:31" ht="18">
      <c r="A547" s="37">
        <f t="shared" si="46"/>
        <v>420</v>
      </c>
      <c r="B547" s="37">
        <f t="shared" si="46"/>
        <v>17</v>
      </c>
      <c r="C547" s="535" t="s">
        <v>1124</v>
      </c>
      <c r="D547" s="37" t="s">
        <v>208</v>
      </c>
      <c r="E547" s="528" t="s">
        <v>47</v>
      </c>
      <c r="F547" s="529">
        <v>20</v>
      </c>
      <c r="G547" s="530">
        <v>13650</v>
      </c>
      <c r="H547" s="531">
        <f t="shared" si="44"/>
        <v>273000</v>
      </c>
      <c r="I547" s="43">
        <v>20</v>
      </c>
      <c r="J547" s="532">
        <v>17640</v>
      </c>
      <c r="K547" s="44">
        <f t="shared" si="45"/>
        <v>352800</v>
      </c>
      <c r="L547" s="30">
        <f t="shared" si="43"/>
        <v>3990</v>
      </c>
      <c r="M547" s="533" t="s">
        <v>1125</v>
      </c>
      <c r="N547" s="89" t="s">
        <v>1126</v>
      </c>
      <c r="O547" s="89" t="s">
        <v>1127</v>
      </c>
      <c r="P547" s="46" t="s">
        <v>1066</v>
      </c>
      <c r="Q547" s="22"/>
    </row>
    <row r="548" spans="1:31" ht="18">
      <c r="A548" s="37">
        <f t="shared" si="46"/>
        <v>421</v>
      </c>
      <c r="B548" s="37">
        <f>1+B547</f>
        <v>18</v>
      </c>
      <c r="C548" s="527" t="s">
        <v>1128</v>
      </c>
      <c r="D548" s="37" t="s">
        <v>645</v>
      </c>
      <c r="E548" s="528" t="s">
        <v>47</v>
      </c>
      <c r="F548" s="534">
        <v>15000</v>
      </c>
      <c r="G548" s="530">
        <v>1890</v>
      </c>
      <c r="H548" s="531">
        <f t="shared" si="44"/>
        <v>28350000</v>
      </c>
      <c r="I548" s="43">
        <v>15000</v>
      </c>
      <c r="J548" s="532">
        <v>3024</v>
      </c>
      <c r="K548" s="44">
        <f>I548*J548</f>
        <v>45360000</v>
      </c>
      <c r="L548" s="30">
        <f t="shared" si="43"/>
        <v>1134</v>
      </c>
      <c r="M548" s="533" t="s">
        <v>1063</v>
      </c>
      <c r="N548" s="37" t="s">
        <v>1129</v>
      </c>
      <c r="O548" s="37" t="s">
        <v>1130</v>
      </c>
      <c r="P548" s="46" t="s">
        <v>1066</v>
      </c>
      <c r="Q548" s="22"/>
    </row>
    <row r="549" spans="1:31" ht="18">
      <c r="A549" s="37">
        <f t="shared" ref="A549:B551" si="47">1+A548</f>
        <v>422</v>
      </c>
      <c r="B549" s="37">
        <f t="shared" si="47"/>
        <v>19</v>
      </c>
      <c r="C549" s="527" t="s">
        <v>1131</v>
      </c>
      <c r="D549" s="37" t="s">
        <v>1119</v>
      </c>
      <c r="E549" s="528" t="s">
        <v>47</v>
      </c>
      <c r="F549" s="529">
        <v>110000</v>
      </c>
      <c r="G549" s="530">
        <v>882</v>
      </c>
      <c r="H549" s="531">
        <f t="shared" si="44"/>
        <v>97020000</v>
      </c>
      <c r="I549" s="99">
        <v>110000</v>
      </c>
      <c r="J549" s="552">
        <v>2016</v>
      </c>
      <c r="K549" s="54">
        <f>I549*J549</f>
        <v>221760000</v>
      </c>
      <c r="L549" s="30">
        <f t="shared" si="43"/>
        <v>1134</v>
      </c>
      <c r="M549" s="533" t="s">
        <v>1072</v>
      </c>
      <c r="N549" s="89" t="s">
        <v>1132</v>
      </c>
      <c r="O549" s="89" t="s">
        <v>1121</v>
      </c>
      <c r="P549" s="46" t="s">
        <v>1066</v>
      </c>
      <c r="Q549" s="22"/>
    </row>
    <row r="550" spans="1:31" ht="18">
      <c r="A550" s="37">
        <f t="shared" si="47"/>
        <v>423</v>
      </c>
      <c r="B550" s="37">
        <f t="shared" si="47"/>
        <v>20</v>
      </c>
      <c r="C550" s="527" t="s">
        <v>1133</v>
      </c>
      <c r="D550" s="37" t="s">
        <v>575</v>
      </c>
      <c r="E550" s="528" t="s">
        <v>47</v>
      </c>
      <c r="F550" s="529">
        <v>3000</v>
      </c>
      <c r="G550" s="530">
        <v>21000</v>
      </c>
      <c r="H550" s="531">
        <f t="shared" si="44"/>
        <v>63000000</v>
      </c>
      <c r="I550" s="43">
        <v>3000</v>
      </c>
      <c r="J550" s="532">
        <v>21000</v>
      </c>
      <c r="K550" s="44">
        <f>I550*J550</f>
        <v>63000000</v>
      </c>
      <c r="L550" s="30">
        <f t="shared" si="43"/>
        <v>0</v>
      </c>
      <c r="M550" s="533" t="s">
        <v>1134</v>
      </c>
      <c r="N550" s="89" t="s">
        <v>1135</v>
      </c>
      <c r="O550" s="89" t="s">
        <v>1130</v>
      </c>
      <c r="P550" s="46" t="s">
        <v>1066</v>
      </c>
      <c r="Q550" s="22"/>
    </row>
    <row r="551" spans="1:31" ht="18">
      <c r="A551" s="94">
        <f t="shared" si="47"/>
        <v>424</v>
      </c>
      <c r="B551" s="94">
        <f t="shared" si="47"/>
        <v>21</v>
      </c>
      <c r="C551" s="553" t="s">
        <v>1136</v>
      </c>
      <c r="D551" s="94" t="s">
        <v>1137</v>
      </c>
      <c r="E551" s="554" t="s">
        <v>1138</v>
      </c>
      <c r="F551" s="555">
        <v>400</v>
      </c>
      <c r="G551" s="556">
        <v>29400</v>
      </c>
      <c r="H551" s="557">
        <f t="shared" si="44"/>
        <v>11760000</v>
      </c>
      <c r="I551" s="43">
        <v>400</v>
      </c>
      <c r="J551" s="532">
        <v>38850</v>
      </c>
      <c r="K551" s="44">
        <f>I551*J551</f>
        <v>15540000</v>
      </c>
      <c r="L551" s="30">
        <f t="shared" si="43"/>
        <v>9450</v>
      </c>
      <c r="M551" s="558" t="s">
        <v>622</v>
      </c>
      <c r="N551" s="100" t="s">
        <v>1139</v>
      </c>
      <c r="O551" s="100" t="s">
        <v>1140</v>
      </c>
      <c r="P551" s="265" t="s">
        <v>1066</v>
      </c>
      <c r="Q551" s="22"/>
    </row>
    <row r="552" spans="1:31">
      <c r="A552" s="559"/>
      <c r="B552" s="559"/>
      <c r="C552" s="560"/>
      <c r="D552" s="2122" t="s">
        <v>1141</v>
      </c>
      <c r="E552" s="2123"/>
      <c r="F552" s="2123"/>
      <c r="G552" s="2124"/>
      <c r="H552" s="2294">
        <f>SUM(H531:H551)</f>
        <v>759650000</v>
      </c>
      <c r="I552" s="561"/>
      <c r="J552" s="561"/>
      <c r="K552" s="561">
        <f>SUM(K531:K551)</f>
        <v>1312300400</v>
      </c>
      <c r="L552" s="561"/>
      <c r="M552" s="57"/>
      <c r="N552" s="57"/>
      <c r="O552" s="57"/>
      <c r="P552" s="142"/>
      <c r="Q552" s="115"/>
    </row>
    <row r="553" spans="1:31">
      <c r="A553" s="2125" t="s">
        <v>1142</v>
      </c>
      <c r="B553" s="2126"/>
      <c r="C553" s="2126"/>
      <c r="D553" s="2126"/>
      <c r="E553" s="2126"/>
      <c r="F553" s="2126"/>
      <c r="G553" s="2126"/>
      <c r="H553" s="2126"/>
      <c r="I553" s="2126"/>
      <c r="J553" s="2126"/>
      <c r="K553" s="2126"/>
      <c r="L553" s="2126"/>
      <c r="M553" s="2126"/>
      <c r="N553" s="2126"/>
      <c r="O553" s="2127"/>
      <c r="P553" s="142"/>
      <c r="Q553" s="115"/>
    </row>
    <row r="555" spans="1:31">
      <c r="A555" s="71" t="s">
        <v>1143</v>
      </c>
    </row>
    <row r="557" spans="1:31" s="12" customFormat="1">
      <c r="A557" s="2092" t="s">
        <v>5</v>
      </c>
      <c r="B557" s="2092" t="s">
        <v>6</v>
      </c>
      <c r="C557" s="2094" t="s">
        <v>7</v>
      </c>
      <c r="D557" s="2096" t="s">
        <v>8</v>
      </c>
      <c r="E557" s="2092" t="s">
        <v>9</v>
      </c>
      <c r="F557" s="2098" t="s">
        <v>10</v>
      </c>
      <c r="G557" s="2098"/>
      <c r="H557" s="2098"/>
      <c r="I557" s="2098" t="s">
        <v>11</v>
      </c>
      <c r="J557" s="2098"/>
      <c r="K557" s="2098"/>
      <c r="L557" s="2099" t="s">
        <v>12</v>
      </c>
      <c r="M557" s="9"/>
      <c r="N557" s="9"/>
      <c r="O557" s="9"/>
      <c r="P557" s="2101" t="s">
        <v>13</v>
      </c>
      <c r="Q557" s="2265" t="s">
        <v>4740</v>
      </c>
      <c r="R557" s="2319" t="s">
        <v>4754</v>
      </c>
      <c r="S557" s="2267" t="s">
        <v>4767</v>
      </c>
      <c r="T557" s="2268"/>
      <c r="U557" s="2268"/>
      <c r="V557" s="2268"/>
      <c r="W557" s="2269"/>
      <c r="X557" s="2267" t="s">
        <v>4768</v>
      </c>
      <c r="Y557" s="2268"/>
      <c r="Z557" s="2268"/>
      <c r="AA557" s="2268"/>
      <c r="AB557" s="2268"/>
      <c r="AC557" s="2268"/>
      <c r="AD557" s="2268"/>
      <c r="AE557" s="2269"/>
    </row>
    <row r="558" spans="1:31" s="16" customFormat="1" ht="27">
      <c r="A558" s="2093"/>
      <c r="B558" s="2093"/>
      <c r="C558" s="2095"/>
      <c r="D558" s="2097"/>
      <c r="E558" s="2093"/>
      <c r="F558" s="13" t="s">
        <v>14</v>
      </c>
      <c r="G558" s="13" t="s">
        <v>15</v>
      </c>
      <c r="H558" s="13" t="s">
        <v>16</v>
      </c>
      <c r="I558" s="13" t="s">
        <v>14</v>
      </c>
      <c r="J558" s="13" t="s">
        <v>15</v>
      </c>
      <c r="K558" s="13" t="s">
        <v>16</v>
      </c>
      <c r="L558" s="2100"/>
      <c r="M558" s="14" t="s">
        <v>17</v>
      </c>
      <c r="N558" s="14" t="s">
        <v>18</v>
      </c>
      <c r="O558" s="14" t="s">
        <v>19</v>
      </c>
      <c r="P558" s="2102"/>
      <c r="Q558" s="2266"/>
      <c r="R558" s="2320"/>
      <c r="S558" s="2263" t="s">
        <v>4755</v>
      </c>
      <c r="T558" s="2263" t="s">
        <v>4756</v>
      </c>
      <c r="U558" s="2263" t="s">
        <v>4757</v>
      </c>
      <c r="V558" s="2263" t="s">
        <v>4758</v>
      </c>
      <c r="W558" s="2263" t="s">
        <v>4759</v>
      </c>
      <c r="X558" s="2264" t="s">
        <v>4760</v>
      </c>
      <c r="Y558" s="2264" t="s">
        <v>4761</v>
      </c>
      <c r="Z558" s="2264" t="s">
        <v>4762</v>
      </c>
      <c r="AA558" s="2264" t="s">
        <v>4763</v>
      </c>
      <c r="AB558" s="2264" t="s">
        <v>4764</v>
      </c>
      <c r="AC558" s="2264" t="s">
        <v>4765</v>
      </c>
      <c r="AD558" s="2264" t="s">
        <v>4766</v>
      </c>
      <c r="AE558" s="2264" t="s">
        <v>4755</v>
      </c>
    </row>
    <row r="559" spans="1:31" s="70" customFormat="1">
      <c r="A559" s="331">
        <v>1</v>
      </c>
      <c r="B559" s="331">
        <v>2</v>
      </c>
      <c r="C559" s="63">
        <v>3</v>
      </c>
      <c r="D559" s="331">
        <v>4</v>
      </c>
      <c r="E559" s="331">
        <v>5</v>
      </c>
      <c r="F559" s="57">
        <v>6</v>
      </c>
      <c r="G559" s="57">
        <v>7</v>
      </c>
      <c r="H559" s="331">
        <v>8</v>
      </c>
      <c r="I559" s="331">
        <v>9</v>
      </c>
      <c r="J559" s="331">
        <v>10</v>
      </c>
      <c r="K559" s="331">
        <v>11</v>
      </c>
      <c r="L559" s="331">
        <v>12</v>
      </c>
      <c r="M559" s="331">
        <v>9</v>
      </c>
      <c r="N559" s="331">
        <v>10</v>
      </c>
      <c r="O559" s="331">
        <v>11</v>
      </c>
      <c r="P559" s="21">
        <v>13</v>
      </c>
      <c r="Q559" s="22"/>
      <c r="R559" s="2321"/>
      <c r="S559" s="485"/>
    </row>
    <row r="560" spans="1:31" ht="18">
      <c r="A560" s="562">
        <v>425</v>
      </c>
      <c r="B560" s="562">
        <v>1</v>
      </c>
      <c r="C560" s="563" t="s">
        <v>1144</v>
      </c>
      <c r="D560" s="564" t="s">
        <v>1145</v>
      </c>
      <c r="E560" s="562" t="s">
        <v>276</v>
      </c>
      <c r="F560" s="565">
        <v>400</v>
      </c>
      <c r="G560" s="565">
        <v>132300</v>
      </c>
      <c r="H560" s="566">
        <f>F560*G560</f>
        <v>52920000</v>
      </c>
      <c r="I560" s="81">
        <v>400</v>
      </c>
      <c r="J560" s="567">
        <v>162020</v>
      </c>
      <c r="K560" s="32">
        <f>I560*J560</f>
        <v>64808000</v>
      </c>
      <c r="L560" s="30">
        <f t="shared" ref="L560:L579" si="48">J560-G560</f>
        <v>29720</v>
      </c>
      <c r="M560" s="564" t="s">
        <v>1146</v>
      </c>
      <c r="N560" s="568" t="s">
        <v>1147</v>
      </c>
      <c r="O560" s="564">
        <v>5</v>
      </c>
      <c r="P560" s="227" t="s">
        <v>1148</v>
      </c>
      <c r="Q560" s="22"/>
    </row>
    <row r="561" spans="1:17" ht="18">
      <c r="A561" s="569">
        <v>426</v>
      </c>
      <c r="B561" s="569">
        <v>2</v>
      </c>
      <c r="C561" s="570" t="s">
        <v>1149</v>
      </c>
      <c r="D561" s="571" t="s">
        <v>1150</v>
      </c>
      <c r="E561" s="569" t="s">
        <v>276</v>
      </c>
      <c r="F561" s="572">
        <v>200</v>
      </c>
      <c r="G561" s="572">
        <v>31290</v>
      </c>
      <c r="H561" s="573">
        <f t="shared" ref="H561:H578" si="49">F561*G561</f>
        <v>6258000</v>
      </c>
      <c r="I561" s="43">
        <v>200</v>
      </c>
      <c r="J561" s="532">
        <v>35910</v>
      </c>
      <c r="K561" s="32">
        <f t="shared" ref="K561:K579" si="50">I561*J561</f>
        <v>7182000</v>
      </c>
      <c r="L561" s="30">
        <f t="shared" si="48"/>
        <v>4620</v>
      </c>
      <c r="M561" s="571" t="s">
        <v>1146</v>
      </c>
      <c r="N561" s="574" t="s">
        <v>1151</v>
      </c>
      <c r="O561" s="571">
        <v>5</v>
      </c>
      <c r="P561" s="46" t="s">
        <v>1148</v>
      </c>
      <c r="Q561" s="22"/>
    </row>
    <row r="562" spans="1:17" ht="18">
      <c r="A562" s="569">
        <v>427</v>
      </c>
      <c r="B562" s="569">
        <v>3</v>
      </c>
      <c r="C562" s="570" t="s">
        <v>1152</v>
      </c>
      <c r="D562" s="571" t="s">
        <v>1153</v>
      </c>
      <c r="E562" s="569" t="s">
        <v>276</v>
      </c>
      <c r="F562" s="572">
        <v>2000</v>
      </c>
      <c r="G562" s="572">
        <f>300000*1.05</f>
        <v>315000</v>
      </c>
      <c r="H562" s="573">
        <f t="shared" si="49"/>
        <v>630000000</v>
      </c>
      <c r="I562" s="43">
        <v>2000</v>
      </c>
      <c r="J562" s="532">
        <v>367920</v>
      </c>
      <c r="K562" s="32">
        <f t="shared" si="50"/>
        <v>735840000</v>
      </c>
      <c r="L562" s="30">
        <f t="shared" si="48"/>
        <v>52920</v>
      </c>
      <c r="M562" s="571" t="s">
        <v>1146</v>
      </c>
      <c r="N562" s="574" t="s">
        <v>1154</v>
      </c>
      <c r="O562" s="571">
        <v>5</v>
      </c>
      <c r="P562" s="46" t="s">
        <v>1148</v>
      </c>
      <c r="Q562" s="22"/>
    </row>
    <row r="563" spans="1:17" ht="18">
      <c r="A563" s="569">
        <v>428</v>
      </c>
      <c r="B563" s="569">
        <v>4</v>
      </c>
      <c r="C563" s="570" t="s">
        <v>1155</v>
      </c>
      <c r="D563" s="571" t="s">
        <v>1156</v>
      </c>
      <c r="E563" s="569" t="s">
        <v>192</v>
      </c>
      <c r="F563" s="572">
        <v>30</v>
      </c>
      <c r="G563" s="572">
        <v>6090000</v>
      </c>
      <c r="H563" s="573">
        <f t="shared" si="49"/>
        <v>182700000</v>
      </c>
      <c r="I563" s="43">
        <v>30</v>
      </c>
      <c r="J563" s="532">
        <v>6960000</v>
      </c>
      <c r="K563" s="32">
        <f t="shared" si="50"/>
        <v>208800000</v>
      </c>
      <c r="L563" s="30">
        <f t="shared" si="48"/>
        <v>870000</v>
      </c>
      <c r="M563" s="571" t="s">
        <v>1157</v>
      </c>
      <c r="N563" s="574" t="s">
        <v>1158</v>
      </c>
      <c r="O563" s="571">
        <v>5</v>
      </c>
      <c r="P563" s="46" t="s">
        <v>1148</v>
      </c>
      <c r="Q563" s="22"/>
    </row>
    <row r="564" spans="1:17" ht="18">
      <c r="A564" s="569">
        <v>429</v>
      </c>
      <c r="B564" s="569">
        <v>5</v>
      </c>
      <c r="C564" s="570" t="s">
        <v>1159</v>
      </c>
      <c r="D564" s="571" t="s">
        <v>1156</v>
      </c>
      <c r="E564" s="569" t="s">
        <v>192</v>
      </c>
      <c r="F564" s="572">
        <v>5</v>
      </c>
      <c r="G564" s="572">
        <v>3675000</v>
      </c>
      <c r="H564" s="573">
        <f t="shared" si="49"/>
        <v>18375000</v>
      </c>
      <c r="I564" s="43">
        <v>5</v>
      </c>
      <c r="J564" s="532">
        <v>4158000</v>
      </c>
      <c r="K564" s="32">
        <f t="shared" si="50"/>
        <v>20790000</v>
      </c>
      <c r="L564" s="30">
        <f t="shared" si="48"/>
        <v>483000</v>
      </c>
      <c r="M564" s="571" t="s">
        <v>1157</v>
      </c>
      <c r="N564" s="574" t="s">
        <v>1160</v>
      </c>
      <c r="O564" s="571">
        <v>5</v>
      </c>
      <c r="P564" s="46" t="s">
        <v>1148</v>
      </c>
      <c r="Q564" s="22"/>
    </row>
    <row r="565" spans="1:17" ht="18">
      <c r="A565" s="569">
        <v>430</v>
      </c>
      <c r="B565" s="569">
        <v>6</v>
      </c>
      <c r="C565" s="570" t="s">
        <v>1161</v>
      </c>
      <c r="D565" s="571" t="s">
        <v>1162</v>
      </c>
      <c r="E565" s="569" t="s">
        <v>276</v>
      </c>
      <c r="F565" s="572">
        <v>12</v>
      </c>
      <c r="G565" s="572">
        <v>18950000</v>
      </c>
      <c r="H565" s="573">
        <f t="shared" si="49"/>
        <v>227400000</v>
      </c>
      <c r="I565" s="43">
        <v>12</v>
      </c>
      <c r="J565" s="532">
        <v>25068000</v>
      </c>
      <c r="K565" s="32">
        <f t="shared" si="50"/>
        <v>300816000</v>
      </c>
      <c r="L565" s="30">
        <f t="shared" si="48"/>
        <v>6118000</v>
      </c>
      <c r="M565" s="571" t="s">
        <v>1163</v>
      </c>
      <c r="N565" s="574" t="s">
        <v>1164</v>
      </c>
      <c r="O565" s="571">
        <v>5</v>
      </c>
      <c r="P565" s="46" t="s">
        <v>1148</v>
      </c>
      <c r="Q565" s="22"/>
    </row>
    <row r="566" spans="1:17" ht="18">
      <c r="A566" s="569">
        <v>431</v>
      </c>
      <c r="B566" s="569">
        <v>7</v>
      </c>
      <c r="C566" s="570" t="s">
        <v>1165</v>
      </c>
      <c r="D566" s="571" t="s">
        <v>1166</v>
      </c>
      <c r="E566" s="569" t="s">
        <v>47</v>
      </c>
      <c r="F566" s="572">
        <v>1000</v>
      </c>
      <c r="G566" s="572">
        <v>226000</v>
      </c>
      <c r="H566" s="573">
        <f t="shared" si="49"/>
        <v>226000000</v>
      </c>
      <c r="I566" s="43">
        <v>1000</v>
      </c>
      <c r="J566" s="532">
        <v>270000</v>
      </c>
      <c r="K566" s="32">
        <f t="shared" si="50"/>
        <v>270000000</v>
      </c>
      <c r="L566" s="30">
        <f t="shared" si="48"/>
        <v>44000</v>
      </c>
      <c r="M566" s="571" t="s">
        <v>1163</v>
      </c>
      <c r="N566" s="574" t="s">
        <v>1167</v>
      </c>
      <c r="O566" s="571">
        <v>5</v>
      </c>
      <c r="P566" s="46" t="s">
        <v>1148</v>
      </c>
      <c r="Q566" s="22"/>
    </row>
    <row r="567" spans="1:17" ht="18">
      <c r="A567" s="569">
        <v>432</v>
      </c>
      <c r="B567" s="569">
        <v>8</v>
      </c>
      <c r="C567" s="570" t="s">
        <v>1168</v>
      </c>
      <c r="D567" s="571" t="s">
        <v>1169</v>
      </c>
      <c r="E567" s="569" t="s">
        <v>47</v>
      </c>
      <c r="F567" s="572">
        <v>2</v>
      </c>
      <c r="G567" s="572">
        <v>700000</v>
      </c>
      <c r="H567" s="573">
        <f>F567*G567</f>
        <v>1400000</v>
      </c>
      <c r="I567" s="43">
        <v>2</v>
      </c>
      <c r="J567" s="532">
        <v>1080000</v>
      </c>
      <c r="K567" s="32">
        <f t="shared" si="50"/>
        <v>2160000</v>
      </c>
      <c r="L567" s="30">
        <f t="shared" si="48"/>
        <v>380000</v>
      </c>
      <c r="M567" s="571" t="s">
        <v>1163</v>
      </c>
      <c r="N567" s="574" t="s">
        <v>1170</v>
      </c>
      <c r="O567" s="571">
        <v>5</v>
      </c>
      <c r="P567" s="46" t="s">
        <v>1148</v>
      </c>
      <c r="Q567" s="22"/>
    </row>
    <row r="568" spans="1:17" ht="18">
      <c r="A568" s="569">
        <v>433</v>
      </c>
      <c r="B568" s="569">
        <v>9</v>
      </c>
      <c r="C568" s="570" t="s">
        <v>1171</v>
      </c>
      <c r="D568" s="571" t="s">
        <v>1166</v>
      </c>
      <c r="E568" s="569" t="s">
        <v>47</v>
      </c>
      <c r="F568" s="572">
        <v>500</v>
      </c>
      <c r="G568" s="572">
        <v>336000</v>
      </c>
      <c r="H568" s="573">
        <f t="shared" si="49"/>
        <v>168000000</v>
      </c>
      <c r="I568" s="43">
        <v>500</v>
      </c>
      <c r="J568" s="532">
        <v>350000</v>
      </c>
      <c r="K568" s="32">
        <f t="shared" si="50"/>
        <v>175000000</v>
      </c>
      <c r="L568" s="30">
        <f t="shared" si="48"/>
        <v>14000</v>
      </c>
      <c r="M568" s="571" t="s">
        <v>1163</v>
      </c>
      <c r="N568" s="574" t="s">
        <v>1172</v>
      </c>
      <c r="O568" s="571">
        <v>5</v>
      </c>
      <c r="P568" s="46" t="s">
        <v>1148</v>
      </c>
      <c r="Q568" s="22"/>
    </row>
    <row r="569" spans="1:17" ht="18">
      <c r="A569" s="569">
        <v>434</v>
      </c>
      <c r="B569" s="569">
        <v>10</v>
      </c>
      <c r="C569" s="570" t="s">
        <v>1173</v>
      </c>
      <c r="D569" s="571" t="s">
        <v>1174</v>
      </c>
      <c r="E569" s="569" t="s">
        <v>47</v>
      </c>
      <c r="F569" s="572">
        <v>10</v>
      </c>
      <c r="G569" s="572">
        <v>1200000</v>
      </c>
      <c r="H569" s="573">
        <f t="shared" si="49"/>
        <v>12000000</v>
      </c>
      <c r="I569" s="43">
        <v>10</v>
      </c>
      <c r="J569" s="532">
        <v>1250000</v>
      </c>
      <c r="K569" s="32">
        <f t="shared" si="50"/>
        <v>12500000</v>
      </c>
      <c r="L569" s="30">
        <f t="shared" si="48"/>
        <v>50000</v>
      </c>
      <c r="M569" s="571" t="s">
        <v>1157</v>
      </c>
      <c r="N569" s="574" t="s">
        <v>1175</v>
      </c>
      <c r="O569" s="571">
        <v>5</v>
      </c>
      <c r="P569" s="46" t="s">
        <v>1148</v>
      </c>
      <c r="Q569" s="22"/>
    </row>
    <row r="570" spans="1:17" ht="18">
      <c r="A570" s="569">
        <v>435</v>
      </c>
      <c r="B570" s="569">
        <v>11</v>
      </c>
      <c r="C570" s="570" t="s">
        <v>1176</v>
      </c>
      <c r="D570" s="571" t="s">
        <v>1174</v>
      </c>
      <c r="E570" s="569" t="s">
        <v>47</v>
      </c>
      <c r="F570" s="572">
        <v>200</v>
      </c>
      <c r="G570" s="572">
        <v>1160000</v>
      </c>
      <c r="H570" s="573">
        <f t="shared" si="49"/>
        <v>232000000</v>
      </c>
      <c r="I570" s="43">
        <v>200</v>
      </c>
      <c r="J570" s="532">
        <v>1650000</v>
      </c>
      <c r="K570" s="32">
        <f t="shared" si="50"/>
        <v>330000000</v>
      </c>
      <c r="L570" s="30">
        <f t="shared" si="48"/>
        <v>490000</v>
      </c>
      <c r="M570" s="571" t="s">
        <v>1163</v>
      </c>
      <c r="N570" s="574" t="s">
        <v>1177</v>
      </c>
      <c r="O570" s="571">
        <v>5</v>
      </c>
      <c r="P570" s="46" t="s">
        <v>1148</v>
      </c>
      <c r="Q570" s="22"/>
    </row>
    <row r="571" spans="1:17" ht="18">
      <c r="A571" s="569">
        <v>436</v>
      </c>
      <c r="B571" s="569">
        <v>12</v>
      </c>
      <c r="C571" s="570" t="s">
        <v>1178</v>
      </c>
      <c r="D571" s="571" t="s">
        <v>1162</v>
      </c>
      <c r="E571" s="569" t="s">
        <v>276</v>
      </c>
      <c r="F571" s="572">
        <v>15</v>
      </c>
      <c r="G571" s="572">
        <v>6750000</v>
      </c>
      <c r="H571" s="573">
        <f t="shared" si="49"/>
        <v>101250000</v>
      </c>
      <c r="I571" s="43">
        <v>15</v>
      </c>
      <c r="J571" s="532">
        <v>7200000</v>
      </c>
      <c r="K571" s="32">
        <f t="shared" si="50"/>
        <v>108000000</v>
      </c>
      <c r="L571" s="30">
        <f t="shared" si="48"/>
        <v>450000</v>
      </c>
      <c r="M571" s="571" t="s">
        <v>1163</v>
      </c>
      <c r="N571" s="575" t="s">
        <v>1179</v>
      </c>
      <c r="O571" s="571">
        <v>5</v>
      </c>
      <c r="P571" s="46" t="s">
        <v>1148</v>
      </c>
      <c r="Q571" s="22"/>
    </row>
    <row r="572" spans="1:17" ht="18">
      <c r="A572" s="569">
        <v>437</v>
      </c>
      <c r="B572" s="569">
        <v>13</v>
      </c>
      <c r="C572" s="570" t="s">
        <v>1180</v>
      </c>
      <c r="D572" s="571" t="s">
        <v>1162</v>
      </c>
      <c r="E572" s="569" t="s">
        <v>276</v>
      </c>
      <c r="F572" s="572">
        <v>20</v>
      </c>
      <c r="G572" s="572">
        <v>4200000</v>
      </c>
      <c r="H572" s="573">
        <f>F572*G572</f>
        <v>84000000</v>
      </c>
      <c r="I572" s="43">
        <v>20</v>
      </c>
      <c r="J572" s="532">
        <v>4200000</v>
      </c>
      <c r="K572" s="32">
        <f t="shared" si="50"/>
        <v>84000000</v>
      </c>
      <c r="L572" s="30">
        <f t="shared" si="48"/>
        <v>0</v>
      </c>
      <c r="M572" s="571" t="s">
        <v>1163</v>
      </c>
      <c r="N572" s="574" t="s">
        <v>1181</v>
      </c>
      <c r="O572" s="571">
        <v>5</v>
      </c>
      <c r="P572" s="46" t="s">
        <v>1148</v>
      </c>
      <c r="Q572" s="22"/>
    </row>
    <row r="573" spans="1:17" ht="18">
      <c r="A573" s="569">
        <v>438</v>
      </c>
      <c r="B573" s="569">
        <v>14</v>
      </c>
      <c r="C573" s="570" t="s">
        <v>1182</v>
      </c>
      <c r="D573" s="571" t="s">
        <v>1169</v>
      </c>
      <c r="E573" s="569" t="s">
        <v>47</v>
      </c>
      <c r="F573" s="572">
        <v>50</v>
      </c>
      <c r="G573" s="572">
        <v>1160000</v>
      </c>
      <c r="H573" s="573">
        <f t="shared" si="49"/>
        <v>58000000</v>
      </c>
      <c r="I573" s="43">
        <v>50</v>
      </c>
      <c r="J573" s="532">
        <v>1350000</v>
      </c>
      <c r="K573" s="32">
        <f t="shared" si="50"/>
        <v>67500000</v>
      </c>
      <c r="L573" s="30">
        <f t="shared" si="48"/>
        <v>190000</v>
      </c>
      <c r="M573" s="571" t="s">
        <v>1163</v>
      </c>
      <c r="N573" s="574" t="s">
        <v>1177</v>
      </c>
      <c r="O573" s="571">
        <v>5</v>
      </c>
      <c r="P573" s="46" t="s">
        <v>1148</v>
      </c>
      <c r="Q573" s="22"/>
    </row>
    <row r="574" spans="1:17" ht="18">
      <c r="A574" s="569">
        <v>439</v>
      </c>
      <c r="B574" s="569">
        <v>15</v>
      </c>
      <c r="C574" s="570" t="s">
        <v>1183</v>
      </c>
      <c r="D574" s="571" t="s">
        <v>1169</v>
      </c>
      <c r="E574" s="569" t="s">
        <v>47</v>
      </c>
      <c r="F574" s="572">
        <v>50</v>
      </c>
      <c r="G574" s="572">
        <v>605000</v>
      </c>
      <c r="H574" s="573">
        <f t="shared" si="49"/>
        <v>30250000</v>
      </c>
      <c r="I574" s="43">
        <v>50</v>
      </c>
      <c r="J574" s="532">
        <v>700000</v>
      </c>
      <c r="K574" s="32">
        <f t="shared" si="50"/>
        <v>35000000</v>
      </c>
      <c r="L574" s="30">
        <f t="shared" si="48"/>
        <v>95000</v>
      </c>
      <c r="M574" s="571" t="s">
        <v>1163</v>
      </c>
      <c r="N574" s="574" t="s">
        <v>1184</v>
      </c>
      <c r="O574" s="571">
        <v>5</v>
      </c>
      <c r="P574" s="46" t="s">
        <v>1148</v>
      </c>
      <c r="Q574" s="22"/>
    </row>
    <row r="575" spans="1:17" ht="18">
      <c r="A575" s="569">
        <v>440</v>
      </c>
      <c r="B575" s="569">
        <v>16</v>
      </c>
      <c r="C575" s="570" t="s">
        <v>1185</v>
      </c>
      <c r="D575" s="571" t="s">
        <v>1169</v>
      </c>
      <c r="E575" s="569" t="s">
        <v>47</v>
      </c>
      <c r="F575" s="572">
        <v>50</v>
      </c>
      <c r="G575" s="572">
        <v>590000</v>
      </c>
      <c r="H575" s="573">
        <f t="shared" si="49"/>
        <v>29500000</v>
      </c>
      <c r="I575" s="43">
        <v>50</v>
      </c>
      <c r="J575" s="532">
        <v>620000</v>
      </c>
      <c r="K575" s="32">
        <f t="shared" si="50"/>
        <v>31000000</v>
      </c>
      <c r="L575" s="30">
        <f t="shared" si="48"/>
        <v>30000</v>
      </c>
      <c r="M575" s="571" t="s">
        <v>1163</v>
      </c>
      <c r="N575" s="574" t="s">
        <v>1186</v>
      </c>
      <c r="O575" s="571">
        <v>5</v>
      </c>
      <c r="P575" s="46" t="s">
        <v>1148</v>
      </c>
      <c r="Q575" s="22"/>
    </row>
    <row r="576" spans="1:17" ht="18">
      <c r="A576" s="569">
        <v>441</v>
      </c>
      <c r="B576" s="569">
        <v>17</v>
      </c>
      <c r="C576" s="570" t="s">
        <v>1187</v>
      </c>
      <c r="D576" s="571" t="s">
        <v>1156</v>
      </c>
      <c r="E576" s="569" t="s">
        <v>192</v>
      </c>
      <c r="F576" s="572">
        <v>20</v>
      </c>
      <c r="G576" s="572">
        <v>17000000</v>
      </c>
      <c r="H576" s="573">
        <f t="shared" si="49"/>
        <v>340000000</v>
      </c>
      <c r="I576" s="43">
        <v>20</v>
      </c>
      <c r="J576" s="532">
        <v>18800000</v>
      </c>
      <c r="K576" s="32">
        <f t="shared" si="50"/>
        <v>376000000</v>
      </c>
      <c r="L576" s="30">
        <f t="shared" si="48"/>
        <v>1800000</v>
      </c>
      <c r="M576" s="571" t="s">
        <v>1188</v>
      </c>
      <c r="N576" s="571" t="s">
        <v>1189</v>
      </c>
      <c r="O576" s="571">
        <v>5</v>
      </c>
      <c r="P576" s="46" t="s">
        <v>1148</v>
      </c>
      <c r="Q576" s="22"/>
    </row>
    <row r="577" spans="1:31" ht="18">
      <c r="A577" s="569">
        <v>442</v>
      </c>
      <c r="B577" s="569">
        <v>18</v>
      </c>
      <c r="C577" s="570" t="s">
        <v>1190</v>
      </c>
      <c r="D577" s="571" t="s">
        <v>1169</v>
      </c>
      <c r="E577" s="569" t="s">
        <v>47</v>
      </c>
      <c r="F577" s="572">
        <v>20</v>
      </c>
      <c r="G577" s="572">
        <v>1900000</v>
      </c>
      <c r="H577" s="573">
        <f t="shared" si="49"/>
        <v>38000000</v>
      </c>
      <c r="I577" s="43">
        <v>20</v>
      </c>
      <c r="J577" s="532">
        <v>2400000</v>
      </c>
      <c r="K577" s="32">
        <f t="shared" si="50"/>
        <v>48000000</v>
      </c>
      <c r="L577" s="30">
        <f t="shared" si="48"/>
        <v>500000</v>
      </c>
      <c r="M577" s="571" t="s">
        <v>1146</v>
      </c>
      <c r="N577" s="571" t="s">
        <v>1191</v>
      </c>
      <c r="O577" s="571">
        <v>5</v>
      </c>
      <c r="P577" s="46" t="s">
        <v>1148</v>
      </c>
      <c r="Q577" s="22"/>
    </row>
    <row r="578" spans="1:31" ht="18">
      <c r="A578" s="569">
        <v>443</v>
      </c>
      <c r="B578" s="569">
        <v>19</v>
      </c>
      <c r="C578" s="570" t="s">
        <v>1192</v>
      </c>
      <c r="D578" s="571" t="s">
        <v>1169</v>
      </c>
      <c r="E578" s="569" t="s">
        <v>47</v>
      </c>
      <c r="F578" s="572">
        <v>10</v>
      </c>
      <c r="G578" s="572">
        <v>280000</v>
      </c>
      <c r="H578" s="573">
        <f t="shared" si="49"/>
        <v>2800000</v>
      </c>
      <c r="I578" s="43">
        <v>10</v>
      </c>
      <c r="J578" s="532">
        <v>290000</v>
      </c>
      <c r="K578" s="32">
        <f t="shared" si="50"/>
        <v>2900000</v>
      </c>
      <c r="L578" s="30">
        <f t="shared" si="48"/>
        <v>10000</v>
      </c>
      <c r="M578" s="571" t="s">
        <v>1146</v>
      </c>
      <c r="N578" s="571" t="s">
        <v>1193</v>
      </c>
      <c r="O578" s="571">
        <v>5</v>
      </c>
      <c r="P578" s="46" t="s">
        <v>1148</v>
      </c>
      <c r="Q578" s="22"/>
    </row>
    <row r="579" spans="1:31" ht="18">
      <c r="A579" s="576">
        <v>444</v>
      </c>
      <c r="B579" s="576">
        <v>20</v>
      </c>
      <c r="C579" s="577" t="s">
        <v>1194</v>
      </c>
      <c r="D579" s="578" t="s">
        <v>1153</v>
      </c>
      <c r="E579" s="576" t="s">
        <v>276</v>
      </c>
      <c r="F579" s="579">
        <v>100</v>
      </c>
      <c r="G579" s="579">
        <f>390000*1.05</f>
        <v>409500</v>
      </c>
      <c r="H579" s="580">
        <f>F579*G579</f>
        <v>40950000</v>
      </c>
      <c r="I579" s="99">
        <v>100</v>
      </c>
      <c r="J579" s="552">
        <v>620000</v>
      </c>
      <c r="K579" s="241">
        <f t="shared" si="50"/>
        <v>62000000</v>
      </c>
      <c r="L579" s="242">
        <f t="shared" si="48"/>
        <v>210500</v>
      </c>
      <c r="M579" s="581" t="s">
        <v>1146</v>
      </c>
      <c r="N579" s="582" t="s">
        <v>1195</v>
      </c>
      <c r="O579" s="581">
        <v>5</v>
      </c>
      <c r="P579" s="56" t="s">
        <v>1148</v>
      </c>
      <c r="Q579" s="22"/>
    </row>
    <row r="580" spans="1:31">
      <c r="A580" s="583"/>
      <c r="B580" s="584"/>
      <c r="C580" s="2128" t="s">
        <v>893</v>
      </c>
      <c r="D580" s="2129"/>
      <c r="E580" s="2129"/>
      <c r="F580" s="2129"/>
      <c r="G580" s="2130"/>
      <c r="H580" s="2295">
        <f>SUM(H560:H579)</f>
        <v>2481803000</v>
      </c>
      <c r="I580" s="585"/>
      <c r="J580" s="585"/>
      <c r="K580" s="585">
        <f>SUM(K560:K579)</f>
        <v>2942296000</v>
      </c>
      <c r="L580" s="585"/>
      <c r="M580" s="586"/>
      <c r="N580" s="14"/>
      <c r="O580" s="14"/>
      <c r="P580" s="142"/>
      <c r="Q580" s="115"/>
    </row>
    <row r="581" spans="1:31">
      <c r="A581" s="587"/>
      <c r="B581" s="587"/>
      <c r="C581" s="2131" t="s">
        <v>1196</v>
      </c>
      <c r="D581" s="2131"/>
      <c r="E581" s="2131"/>
      <c r="F581" s="2131"/>
      <c r="G581" s="2131"/>
      <c r="H581" s="2131"/>
      <c r="I581" s="588"/>
      <c r="J581" s="588"/>
      <c r="K581" s="588"/>
      <c r="L581" s="588"/>
      <c r="M581" s="589"/>
      <c r="N581" s="590"/>
      <c r="O581" s="590"/>
    </row>
    <row r="582" spans="1:31">
      <c r="A582" s="71" t="s">
        <v>1197</v>
      </c>
    </row>
    <row r="584" spans="1:31" s="12" customFormat="1">
      <c r="A584" s="2132" t="s">
        <v>5</v>
      </c>
      <c r="B584" s="2132" t="s">
        <v>6</v>
      </c>
      <c r="C584" s="2132" t="s">
        <v>7</v>
      </c>
      <c r="D584" s="2101" t="s">
        <v>8</v>
      </c>
      <c r="E584" s="2132" t="s">
        <v>9</v>
      </c>
      <c r="F584" s="2134" t="s">
        <v>10</v>
      </c>
      <c r="G584" s="2134"/>
      <c r="H584" s="2134"/>
      <c r="I584" s="2134" t="s">
        <v>11</v>
      </c>
      <c r="J584" s="2134"/>
      <c r="K584" s="2134"/>
      <c r="L584" s="2135" t="s">
        <v>12</v>
      </c>
      <c r="M584" s="591"/>
      <c r="N584" s="591"/>
      <c r="O584" s="591"/>
      <c r="P584" s="2101" t="s">
        <v>13</v>
      </c>
      <c r="Q584" s="2265" t="s">
        <v>4740</v>
      </c>
      <c r="R584" s="2319" t="s">
        <v>4754</v>
      </c>
      <c r="S584" s="2267" t="s">
        <v>4767</v>
      </c>
      <c r="T584" s="2268"/>
      <c r="U584" s="2268"/>
      <c r="V584" s="2268"/>
      <c r="W584" s="2269"/>
      <c r="X584" s="2267" t="s">
        <v>4768</v>
      </c>
      <c r="Y584" s="2268"/>
      <c r="Z584" s="2268"/>
      <c r="AA584" s="2268"/>
      <c r="AB584" s="2268"/>
      <c r="AC584" s="2268"/>
      <c r="AD584" s="2268"/>
      <c r="AE584" s="2269"/>
    </row>
    <row r="585" spans="1:31" s="16" customFormat="1" ht="27">
      <c r="A585" s="2133"/>
      <c r="B585" s="2133"/>
      <c r="C585" s="2133"/>
      <c r="D585" s="2102"/>
      <c r="E585" s="2133"/>
      <c r="F585" s="592" t="s">
        <v>14</v>
      </c>
      <c r="G585" s="592" t="s">
        <v>15</v>
      </c>
      <c r="H585" s="592" t="s">
        <v>16</v>
      </c>
      <c r="I585" s="592" t="s">
        <v>14</v>
      </c>
      <c r="J585" s="592" t="s">
        <v>15</v>
      </c>
      <c r="K585" s="592" t="s">
        <v>16</v>
      </c>
      <c r="L585" s="2136"/>
      <c r="M585" s="593" t="s">
        <v>17</v>
      </c>
      <c r="N585" s="593" t="s">
        <v>18</v>
      </c>
      <c r="O585" s="593" t="s">
        <v>19</v>
      </c>
      <c r="P585" s="2102"/>
      <c r="Q585" s="2266"/>
      <c r="R585" s="2320"/>
      <c r="S585" s="2263" t="s">
        <v>4755</v>
      </c>
      <c r="T585" s="2263" t="s">
        <v>4756</v>
      </c>
      <c r="U585" s="2263" t="s">
        <v>4757</v>
      </c>
      <c r="V585" s="2263" t="s">
        <v>4758</v>
      </c>
      <c r="W585" s="2263" t="s">
        <v>4759</v>
      </c>
      <c r="X585" s="2264" t="s">
        <v>4760</v>
      </c>
      <c r="Y585" s="2264" t="s">
        <v>4761</v>
      </c>
      <c r="Z585" s="2264" t="s">
        <v>4762</v>
      </c>
      <c r="AA585" s="2264" t="s">
        <v>4763</v>
      </c>
      <c r="AB585" s="2264" t="s">
        <v>4764</v>
      </c>
      <c r="AC585" s="2264" t="s">
        <v>4765</v>
      </c>
      <c r="AD585" s="2264" t="s">
        <v>4766</v>
      </c>
      <c r="AE585" s="2264" t="s">
        <v>4755</v>
      </c>
    </row>
    <row r="586" spans="1:31" s="70" customFormat="1">
      <c r="A586" s="21">
        <v>1</v>
      </c>
      <c r="B586" s="21">
        <v>2</v>
      </c>
      <c r="C586" s="21">
        <v>3</v>
      </c>
      <c r="D586" s="21">
        <v>4</v>
      </c>
      <c r="E586" s="21">
        <v>5</v>
      </c>
      <c r="F586" s="21">
        <v>6</v>
      </c>
      <c r="G586" s="21">
        <v>7</v>
      </c>
      <c r="H586" s="21">
        <v>8</v>
      </c>
      <c r="I586" s="21">
        <v>9</v>
      </c>
      <c r="J586" s="21">
        <v>10</v>
      </c>
      <c r="K586" s="21">
        <v>11</v>
      </c>
      <c r="L586" s="21">
        <v>12</v>
      </c>
      <c r="M586" s="21">
        <v>9</v>
      </c>
      <c r="N586" s="21">
        <v>10</v>
      </c>
      <c r="O586" s="21">
        <v>11</v>
      </c>
      <c r="P586" s="21">
        <v>13</v>
      </c>
      <c r="Q586" s="22"/>
      <c r="R586" s="2321"/>
      <c r="S586" s="485"/>
    </row>
    <row r="587" spans="1:31" ht="27">
      <c r="A587" s="108">
        <v>445</v>
      </c>
      <c r="B587" s="106">
        <v>1</v>
      </c>
      <c r="C587" s="106" t="s">
        <v>1198</v>
      </c>
      <c r="D587" s="106" t="s">
        <v>569</v>
      </c>
      <c r="E587" s="106" t="s">
        <v>47</v>
      </c>
      <c r="F587" s="108">
        <v>200</v>
      </c>
      <c r="G587" s="110">
        <v>580000</v>
      </c>
      <c r="H587" s="110">
        <f>G587*F587</f>
        <v>116000000</v>
      </c>
      <c r="I587" s="594">
        <v>200</v>
      </c>
      <c r="J587" s="595">
        <v>765000</v>
      </c>
      <c r="K587" s="117">
        <f>I587*J587</f>
        <v>153000000</v>
      </c>
      <c r="L587" s="114">
        <f t="shared" ref="L587:L597" si="51">J587-G587</f>
        <v>185000</v>
      </c>
      <c r="M587" s="106" t="s">
        <v>1199</v>
      </c>
      <c r="N587" s="106" t="s">
        <v>1200</v>
      </c>
      <c r="O587" s="108" t="s">
        <v>1201</v>
      </c>
      <c r="P587" s="227" t="s">
        <v>1202</v>
      </c>
      <c r="Q587" s="22"/>
    </row>
    <row r="588" spans="1:31" ht="27">
      <c r="A588" s="118">
        <v>446</v>
      </c>
      <c r="B588" s="116">
        <v>2</v>
      </c>
      <c r="C588" s="116" t="s">
        <v>1203</v>
      </c>
      <c r="D588" s="116" t="s">
        <v>569</v>
      </c>
      <c r="E588" s="116" t="s">
        <v>47</v>
      </c>
      <c r="F588" s="118">
        <v>50</v>
      </c>
      <c r="G588" s="596">
        <v>540000</v>
      </c>
      <c r="H588" s="120">
        <f t="shared" ref="H588:H597" si="52">G588*F588</f>
        <v>27000000</v>
      </c>
      <c r="I588" s="122">
        <v>50</v>
      </c>
      <c r="J588" s="597">
        <v>712000</v>
      </c>
      <c r="K588" s="117">
        <f t="shared" ref="K588:K597" si="53">I588*J588</f>
        <v>35600000</v>
      </c>
      <c r="L588" s="114">
        <f t="shared" si="51"/>
        <v>172000</v>
      </c>
      <c r="M588" s="116" t="s">
        <v>1199</v>
      </c>
      <c r="N588" s="116" t="s">
        <v>1204</v>
      </c>
      <c r="O588" s="118" t="s">
        <v>1201</v>
      </c>
      <c r="P588" s="46" t="s">
        <v>1202</v>
      </c>
      <c r="Q588" s="22"/>
    </row>
    <row r="589" spans="1:31" ht="27">
      <c r="A589" s="118">
        <v>447</v>
      </c>
      <c r="B589" s="116">
        <v>3</v>
      </c>
      <c r="C589" s="116" t="s">
        <v>1205</v>
      </c>
      <c r="D589" s="116" t="s">
        <v>569</v>
      </c>
      <c r="E589" s="116" t="s">
        <v>47</v>
      </c>
      <c r="F589" s="118">
        <v>30</v>
      </c>
      <c r="G589" s="120">
        <v>800000</v>
      </c>
      <c r="H589" s="120">
        <f t="shared" si="52"/>
        <v>24000000</v>
      </c>
      <c r="I589" s="122">
        <v>30</v>
      </c>
      <c r="J589" s="597">
        <v>1122000</v>
      </c>
      <c r="K589" s="117">
        <f t="shared" si="53"/>
        <v>33660000</v>
      </c>
      <c r="L589" s="114">
        <f t="shared" si="51"/>
        <v>322000</v>
      </c>
      <c r="M589" s="116" t="s">
        <v>1199</v>
      </c>
      <c r="N589" s="116" t="s">
        <v>1206</v>
      </c>
      <c r="O589" s="118" t="s">
        <v>1201</v>
      </c>
      <c r="P589" s="46" t="s">
        <v>1202</v>
      </c>
      <c r="Q589" s="22"/>
    </row>
    <row r="590" spans="1:31" ht="27">
      <c r="A590" s="118">
        <v>448</v>
      </c>
      <c r="B590" s="116">
        <v>4</v>
      </c>
      <c r="C590" s="116" t="s">
        <v>1207</v>
      </c>
      <c r="D590" s="116" t="s">
        <v>1208</v>
      </c>
      <c r="E590" s="116" t="s">
        <v>47</v>
      </c>
      <c r="F590" s="118">
        <v>50</v>
      </c>
      <c r="G590" s="120">
        <v>350000</v>
      </c>
      <c r="H590" s="120">
        <f t="shared" si="52"/>
        <v>17500000</v>
      </c>
      <c r="I590" s="122">
        <v>50</v>
      </c>
      <c r="J590" s="597">
        <v>448800</v>
      </c>
      <c r="K590" s="117">
        <f t="shared" si="53"/>
        <v>22440000</v>
      </c>
      <c r="L590" s="114">
        <f t="shared" si="51"/>
        <v>98800</v>
      </c>
      <c r="M590" s="116" t="s">
        <v>1199</v>
      </c>
      <c r="N590" s="116" t="s">
        <v>1209</v>
      </c>
      <c r="O590" s="118" t="s">
        <v>1201</v>
      </c>
      <c r="P590" s="46" t="s">
        <v>1202</v>
      </c>
      <c r="Q590" s="22"/>
    </row>
    <row r="591" spans="1:31" ht="27">
      <c r="A591" s="118">
        <v>449</v>
      </c>
      <c r="B591" s="116">
        <v>5</v>
      </c>
      <c r="C591" s="116" t="s">
        <v>1210</v>
      </c>
      <c r="D591" s="116" t="s">
        <v>569</v>
      </c>
      <c r="E591" s="116" t="s">
        <v>47</v>
      </c>
      <c r="F591" s="118">
        <v>50</v>
      </c>
      <c r="G591" s="120">
        <v>1300000</v>
      </c>
      <c r="H591" s="120">
        <f t="shared" si="52"/>
        <v>65000000</v>
      </c>
      <c r="I591" s="122">
        <v>50</v>
      </c>
      <c r="J591" s="597">
        <v>1716000</v>
      </c>
      <c r="K591" s="117">
        <f t="shared" si="53"/>
        <v>85800000</v>
      </c>
      <c r="L591" s="114">
        <f t="shared" si="51"/>
        <v>416000</v>
      </c>
      <c r="M591" s="116" t="s">
        <v>1199</v>
      </c>
      <c r="N591" s="116" t="s">
        <v>1211</v>
      </c>
      <c r="O591" s="118" t="s">
        <v>1201</v>
      </c>
      <c r="P591" s="46" t="s">
        <v>1202</v>
      </c>
      <c r="Q591" s="22"/>
    </row>
    <row r="592" spans="1:31" ht="27">
      <c r="A592" s="118">
        <v>450</v>
      </c>
      <c r="B592" s="116">
        <v>6</v>
      </c>
      <c r="C592" s="116" t="s">
        <v>1212</v>
      </c>
      <c r="D592" s="116" t="s">
        <v>569</v>
      </c>
      <c r="E592" s="116" t="s">
        <v>47</v>
      </c>
      <c r="F592" s="118">
        <v>30</v>
      </c>
      <c r="G592" s="120">
        <v>270000</v>
      </c>
      <c r="H592" s="120">
        <f t="shared" si="52"/>
        <v>8100000</v>
      </c>
      <c r="I592" s="122">
        <v>30</v>
      </c>
      <c r="J592" s="597">
        <v>356400</v>
      </c>
      <c r="K592" s="117">
        <f t="shared" si="53"/>
        <v>10692000</v>
      </c>
      <c r="L592" s="114">
        <f t="shared" si="51"/>
        <v>86400</v>
      </c>
      <c r="M592" s="116" t="s">
        <v>1199</v>
      </c>
      <c r="N592" s="116" t="s">
        <v>1213</v>
      </c>
      <c r="O592" s="118" t="s">
        <v>1201</v>
      </c>
      <c r="P592" s="46" t="s">
        <v>1202</v>
      </c>
      <c r="Q592" s="22"/>
    </row>
    <row r="593" spans="1:31" ht="27">
      <c r="A593" s="118">
        <v>451</v>
      </c>
      <c r="B593" s="116">
        <v>7</v>
      </c>
      <c r="C593" s="116" t="s">
        <v>1214</v>
      </c>
      <c r="D593" s="116" t="s">
        <v>569</v>
      </c>
      <c r="E593" s="116" t="s">
        <v>47</v>
      </c>
      <c r="F593" s="118">
        <v>50</v>
      </c>
      <c r="G593" s="596">
        <v>310000</v>
      </c>
      <c r="H593" s="120">
        <f t="shared" si="52"/>
        <v>15500000</v>
      </c>
      <c r="I593" s="122">
        <v>50</v>
      </c>
      <c r="J593" s="597">
        <v>409200</v>
      </c>
      <c r="K593" s="117">
        <f t="shared" si="53"/>
        <v>20460000</v>
      </c>
      <c r="L593" s="114">
        <f t="shared" si="51"/>
        <v>99200</v>
      </c>
      <c r="M593" s="116" t="s">
        <v>1199</v>
      </c>
      <c r="N593" s="116" t="s">
        <v>1215</v>
      </c>
      <c r="O593" s="118" t="s">
        <v>1201</v>
      </c>
      <c r="P593" s="46" t="s">
        <v>1202</v>
      </c>
      <c r="Q593" s="22"/>
    </row>
    <row r="594" spans="1:31" ht="27">
      <c r="A594" s="118">
        <v>452</v>
      </c>
      <c r="B594" s="116">
        <v>8</v>
      </c>
      <c r="C594" s="116" t="s">
        <v>1216</v>
      </c>
      <c r="D594" s="116" t="s">
        <v>1217</v>
      </c>
      <c r="E594" s="116" t="s">
        <v>1218</v>
      </c>
      <c r="F594" s="118">
        <v>120</v>
      </c>
      <c r="G594" s="120">
        <v>1150000</v>
      </c>
      <c r="H594" s="120">
        <f t="shared" si="52"/>
        <v>138000000</v>
      </c>
      <c r="I594" s="122">
        <v>120</v>
      </c>
      <c r="J594" s="597">
        <v>1254000</v>
      </c>
      <c r="K594" s="117">
        <f t="shared" si="53"/>
        <v>150480000</v>
      </c>
      <c r="L594" s="114">
        <f t="shared" si="51"/>
        <v>104000</v>
      </c>
      <c r="M594" s="116" t="s">
        <v>1219</v>
      </c>
      <c r="N594" s="116" t="s">
        <v>1220</v>
      </c>
      <c r="O594" s="118" t="s">
        <v>1201</v>
      </c>
      <c r="P594" s="46" t="s">
        <v>1202</v>
      </c>
      <c r="Q594" s="22"/>
    </row>
    <row r="595" spans="1:31" ht="27">
      <c r="A595" s="118">
        <v>453</v>
      </c>
      <c r="B595" s="116">
        <v>9</v>
      </c>
      <c r="C595" s="116" t="s">
        <v>1221</v>
      </c>
      <c r="D595" s="116" t="s">
        <v>1222</v>
      </c>
      <c r="E595" s="116" t="s">
        <v>1218</v>
      </c>
      <c r="F595" s="118">
        <v>100</v>
      </c>
      <c r="G595" s="120">
        <v>75000</v>
      </c>
      <c r="H595" s="120">
        <f t="shared" si="52"/>
        <v>7500000</v>
      </c>
      <c r="I595" s="122">
        <v>100</v>
      </c>
      <c r="J595" s="597">
        <v>84000</v>
      </c>
      <c r="K595" s="117">
        <f t="shared" si="53"/>
        <v>8400000</v>
      </c>
      <c r="L595" s="114">
        <f t="shared" si="51"/>
        <v>9000</v>
      </c>
      <c r="M595" s="116" t="s">
        <v>1223</v>
      </c>
      <c r="N595" s="116" t="s">
        <v>1224</v>
      </c>
      <c r="O595" s="118" t="s">
        <v>1201</v>
      </c>
      <c r="P595" s="46" t="s">
        <v>1202</v>
      </c>
      <c r="Q595" s="22"/>
    </row>
    <row r="596" spans="1:31" ht="18">
      <c r="A596" s="118">
        <v>454</v>
      </c>
      <c r="B596" s="116">
        <v>10</v>
      </c>
      <c r="C596" s="116" t="s">
        <v>1225</v>
      </c>
      <c r="D596" s="116" t="s">
        <v>1226</v>
      </c>
      <c r="E596" s="116" t="s">
        <v>1218</v>
      </c>
      <c r="F596" s="118">
        <v>400</v>
      </c>
      <c r="G596" s="120">
        <v>410000</v>
      </c>
      <c r="H596" s="120">
        <f t="shared" si="52"/>
        <v>164000000</v>
      </c>
      <c r="I596" s="122">
        <v>400</v>
      </c>
      <c r="J596" s="597">
        <v>540000</v>
      </c>
      <c r="K596" s="117">
        <f t="shared" si="53"/>
        <v>216000000</v>
      </c>
      <c r="L596" s="114">
        <f t="shared" si="51"/>
        <v>130000</v>
      </c>
      <c r="M596" s="116" t="s">
        <v>1227</v>
      </c>
      <c r="N596" s="116" t="s">
        <v>1228</v>
      </c>
      <c r="O596" s="118" t="s">
        <v>1201</v>
      </c>
      <c r="P596" s="46" t="s">
        <v>1202</v>
      </c>
      <c r="Q596" s="22"/>
    </row>
    <row r="597" spans="1:31" ht="27">
      <c r="A597" s="130">
        <v>455</v>
      </c>
      <c r="B597" s="128">
        <v>11</v>
      </c>
      <c r="C597" s="128" t="s">
        <v>1229</v>
      </c>
      <c r="D597" s="128" t="s">
        <v>1222</v>
      </c>
      <c r="E597" s="128" t="s">
        <v>1218</v>
      </c>
      <c r="F597" s="130">
        <v>1000</v>
      </c>
      <c r="G597" s="132">
        <v>20000</v>
      </c>
      <c r="H597" s="598">
        <f t="shared" si="52"/>
        <v>20000000</v>
      </c>
      <c r="I597" s="126">
        <v>1000</v>
      </c>
      <c r="J597" s="599">
        <v>30000</v>
      </c>
      <c r="K597" s="127">
        <f t="shared" si="53"/>
        <v>30000000</v>
      </c>
      <c r="L597" s="600">
        <f t="shared" si="51"/>
        <v>10000</v>
      </c>
      <c r="M597" s="601" t="s">
        <v>1223</v>
      </c>
      <c r="N597" s="601" t="s">
        <v>1230</v>
      </c>
      <c r="O597" s="602" t="s">
        <v>1201</v>
      </c>
      <c r="P597" s="56" t="s">
        <v>1202</v>
      </c>
      <c r="Q597" s="22"/>
    </row>
    <row r="598" spans="1:31">
      <c r="A598" s="2137" t="s">
        <v>1231</v>
      </c>
      <c r="B598" s="2137"/>
      <c r="C598" s="2137"/>
      <c r="D598" s="2137"/>
      <c r="E598" s="2137"/>
      <c r="F598" s="2137"/>
      <c r="G598" s="2137"/>
      <c r="H598" s="2296">
        <f>SUM(H587:H597)</f>
        <v>602600000</v>
      </c>
      <c r="I598" s="603"/>
      <c r="J598" s="603"/>
      <c r="K598" s="603">
        <f>SUM(K587:K597)</f>
        <v>766532000</v>
      </c>
      <c r="L598" s="603"/>
      <c r="M598" s="604"/>
      <c r="N598" s="142"/>
      <c r="O598" s="604"/>
      <c r="P598" s="142"/>
      <c r="Q598" s="115"/>
    </row>
    <row r="600" spans="1:31">
      <c r="A600" s="71" t="s">
        <v>1232</v>
      </c>
    </row>
    <row r="601" spans="1:31" s="12" customFormat="1">
      <c r="A601" s="2092" t="s">
        <v>5</v>
      </c>
      <c r="B601" s="2092" t="s">
        <v>6</v>
      </c>
      <c r="C601" s="2094" t="s">
        <v>7</v>
      </c>
      <c r="D601" s="2096" t="s">
        <v>8</v>
      </c>
      <c r="E601" s="2092" t="s">
        <v>9</v>
      </c>
      <c r="F601" s="2098" t="s">
        <v>10</v>
      </c>
      <c r="G601" s="2098"/>
      <c r="H601" s="2098"/>
      <c r="I601" s="2098" t="s">
        <v>11</v>
      </c>
      <c r="J601" s="2098"/>
      <c r="K601" s="2098"/>
      <c r="L601" s="2099" t="s">
        <v>12</v>
      </c>
      <c r="M601" s="9"/>
      <c r="N601" s="9"/>
      <c r="O601" s="9"/>
      <c r="P601" s="2101" t="s">
        <v>13</v>
      </c>
      <c r="Q601" s="2265" t="s">
        <v>4740</v>
      </c>
      <c r="R601" s="2319" t="s">
        <v>4754</v>
      </c>
      <c r="S601" s="2267" t="s">
        <v>4767</v>
      </c>
      <c r="T601" s="2268"/>
      <c r="U601" s="2268"/>
      <c r="V601" s="2268"/>
      <c r="W601" s="2269"/>
      <c r="X601" s="2267" t="s">
        <v>4768</v>
      </c>
      <c r="Y601" s="2268"/>
      <c r="Z601" s="2268"/>
      <c r="AA601" s="2268"/>
      <c r="AB601" s="2268"/>
      <c r="AC601" s="2268"/>
      <c r="AD601" s="2268"/>
      <c r="AE601" s="2269"/>
    </row>
    <row r="602" spans="1:31" s="16" customFormat="1" ht="27">
      <c r="A602" s="2093"/>
      <c r="B602" s="2093"/>
      <c r="C602" s="2095"/>
      <c r="D602" s="2097"/>
      <c r="E602" s="2093"/>
      <c r="F602" s="13" t="s">
        <v>14</v>
      </c>
      <c r="G602" s="13" t="s">
        <v>15</v>
      </c>
      <c r="H602" s="13" t="s">
        <v>16</v>
      </c>
      <c r="I602" s="13" t="s">
        <v>14</v>
      </c>
      <c r="J602" s="13" t="s">
        <v>15</v>
      </c>
      <c r="K602" s="13" t="s">
        <v>16</v>
      </c>
      <c r="L602" s="2100"/>
      <c r="M602" s="14" t="s">
        <v>17</v>
      </c>
      <c r="N602" s="14" t="s">
        <v>18</v>
      </c>
      <c r="O602" s="14" t="s">
        <v>19</v>
      </c>
      <c r="P602" s="2102"/>
      <c r="Q602" s="2266"/>
      <c r="R602" s="2320"/>
      <c r="S602" s="2263" t="s">
        <v>4755</v>
      </c>
      <c r="T602" s="2263" t="s">
        <v>4756</v>
      </c>
      <c r="U602" s="2263" t="s">
        <v>4757</v>
      </c>
      <c r="V602" s="2263" t="s">
        <v>4758</v>
      </c>
      <c r="W602" s="2263" t="s">
        <v>4759</v>
      </c>
      <c r="X602" s="2264" t="s">
        <v>4760</v>
      </c>
      <c r="Y602" s="2264" t="s">
        <v>4761</v>
      </c>
      <c r="Z602" s="2264" t="s">
        <v>4762</v>
      </c>
      <c r="AA602" s="2264" t="s">
        <v>4763</v>
      </c>
      <c r="AB602" s="2264" t="s">
        <v>4764</v>
      </c>
      <c r="AC602" s="2264" t="s">
        <v>4765</v>
      </c>
      <c r="AD602" s="2264" t="s">
        <v>4766</v>
      </c>
      <c r="AE602" s="2264" t="s">
        <v>4755</v>
      </c>
    </row>
    <row r="603" spans="1:31" s="70" customFormat="1">
      <c r="A603" s="331">
        <v>1</v>
      </c>
      <c r="B603" s="331">
        <v>2</v>
      </c>
      <c r="C603" s="63">
        <v>3</v>
      </c>
      <c r="D603" s="331">
        <v>4</v>
      </c>
      <c r="E603" s="331">
        <v>5</v>
      </c>
      <c r="F603" s="57">
        <v>6</v>
      </c>
      <c r="G603" s="57">
        <v>7</v>
      </c>
      <c r="H603" s="331">
        <v>8</v>
      </c>
      <c r="I603" s="331">
        <v>9</v>
      </c>
      <c r="J603" s="331">
        <v>10</v>
      </c>
      <c r="K603" s="331">
        <v>11</v>
      </c>
      <c r="L603" s="331">
        <v>12</v>
      </c>
      <c r="M603" s="331">
        <v>9</v>
      </c>
      <c r="N603" s="331">
        <v>10</v>
      </c>
      <c r="O603" s="331">
        <v>11</v>
      </c>
      <c r="P603" s="21">
        <v>13</v>
      </c>
      <c r="Q603" s="22"/>
      <c r="R603" s="2321"/>
      <c r="S603" s="485"/>
    </row>
    <row r="604" spans="1:31" ht="18">
      <c r="A604" s="272">
        <v>456</v>
      </c>
      <c r="B604" s="274">
        <v>1</v>
      </c>
      <c r="C604" s="273" t="s">
        <v>1233</v>
      </c>
      <c r="D604" s="272" t="s">
        <v>75</v>
      </c>
      <c r="E604" s="272" t="s">
        <v>209</v>
      </c>
      <c r="F604" s="605">
        <v>1000</v>
      </c>
      <c r="G604" s="606">
        <f>53300*1.05</f>
        <v>55965</v>
      </c>
      <c r="H604" s="607">
        <f t="shared" ref="H604:H616" si="54">+G604*F604</f>
        <v>55965000</v>
      </c>
      <c r="I604" s="277">
        <v>1000</v>
      </c>
      <c r="J604" s="608">
        <v>56000</v>
      </c>
      <c r="K604" s="278">
        <f>I604*J604</f>
        <v>56000000</v>
      </c>
      <c r="L604" s="279">
        <f t="shared" ref="L604:L616" si="55">J604-G604</f>
        <v>35</v>
      </c>
      <c r="M604" s="609" t="s">
        <v>1234</v>
      </c>
      <c r="N604" s="610" t="s">
        <v>1235</v>
      </c>
      <c r="O604" s="611"/>
      <c r="P604" s="400" t="s">
        <v>50</v>
      </c>
      <c r="Q604" s="115"/>
    </row>
    <row r="605" spans="1:31">
      <c r="A605" s="282">
        <v>457</v>
      </c>
      <c r="B605" s="284">
        <v>2</v>
      </c>
      <c r="C605" s="283" t="s">
        <v>1236</v>
      </c>
      <c r="D605" s="282" t="s">
        <v>75</v>
      </c>
      <c r="E605" s="282" t="s">
        <v>209</v>
      </c>
      <c r="F605" s="612">
        <v>50</v>
      </c>
      <c r="G605" s="613">
        <f>471200*1.05</f>
        <v>494760</v>
      </c>
      <c r="H605" s="614">
        <f t="shared" si="54"/>
        <v>24738000</v>
      </c>
      <c r="I605" s="287">
        <v>50</v>
      </c>
      <c r="J605" s="495">
        <v>495000</v>
      </c>
      <c r="K605" s="164">
        <f t="shared" ref="K605:K616" si="56">I605*J605</f>
        <v>24750000</v>
      </c>
      <c r="L605" s="288">
        <f t="shared" si="55"/>
        <v>240</v>
      </c>
      <c r="M605" s="615" t="s">
        <v>345</v>
      </c>
      <c r="N605" s="616" t="s">
        <v>1237</v>
      </c>
      <c r="O605" s="617"/>
      <c r="P605" s="403" t="s">
        <v>50</v>
      </c>
      <c r="Q605" s="115"/>
    </row>
    <row r="606" spans="1:31" ht="27">
      <c r="A606" s="300">
        <v>458</v>
      </c>
      <c r="B606" s="302">
        <v>3</v>
      </c>
      <c r="C606" s="301" t="s">
        <v>1238</v>
      </c>
      <c r="D606" s="300" t="s">
        <v>1239</v>
      </c>
      <c r="E606" s="300" t="s">
        <v>209</v>
      </c>
      <c r="F606" s="618">
        <v>20</v>
      </c>
      <c r="G606" s="613">
        <f>2330000*1.05</f>
        <v>2446500</v>
      </c>
      <c r="H606" s="614">
        <f t="shared" si="54"/>
        <v>48930000</v>
      </c>
      <c r="I606" s="287">
        <v>20</v>
      </c>
      <c r="J606" s="495">
        <v>2450000</v>
      </c>
      <c r="K606" s="164">
        <f t="shared" si="56"/>
        <v>49000000</v>
      </c>
      <c r="L606" s="288">
        <f t="shared" si="55"/>
        <v>3500</v>
      </c>
      <c r="M606" s="615" t="s">
        <v>1240</v>
      </c>
      <c r="N606" s="616" t="s">
        <v>1241</v>
      </c>
      <c r="O606" s="617"/>
      <c r="P606" s="403" t="s">
        <v>50</v>
      </c>
      <c r="Q606" s="115"/>
    </row>
    <row r="607" spans="1:31" ht="18">
      <c r="A607" s="282">
        <v>459</v>
      </c>
      <c r="B607" s="284">
        <v>4</v>
      </c>
      <c r="C607" s="283" t="s">
        <v>1242</v>
      </c>
      <c r="D607" s="282" t="s">
        <v>1243</v>
      </c>
      <c r="E607" s="282" t="s">
        <v>209</v>
      </c>
      <c r="F607" s="619">
        <v>60000</v>
      </c>
      <c r="G607" s="613">
        <f>10400*1.05</f>
        <v>10920</v>
      </c>
      <c r="H607" s="614">
        <f t="shared" si="54"/>
        <v>655200000</v>
      </c>
      <c r="I607" s="287">
        <v>60000</v>
      </c>
      <c r="J607" s="495">
        <v>11000</v>
      </c>
      <c r="K607" s="164">
        <f t="shared" si="56"/>
        <v>660000000</v>
      </c>
      <c r="L607" s="288">
        <f t="shared" si="55"/>
        <v>80</v>
      </c>
      <c r="M607" s="615" t="s">
        <v>1234</v>
      </c>
      <c r="N607" s="620" t="s">
        <v>1244</v>
      </c>
      <c r="O607" s="617"/>
      <c r="P607" s="403" t="s">
        <v>50</v>
      </c>
      <c r="Q607" s="115"/>
    </row>
    <row r="608" spans="1:31" ht="18">
      <c r="A608" s="282">
        <v>460</v>
      </c>
      <c r="B608" s="284">
        <v>5</v>
      </c>
      <c r="C608" s="283" t="s">
        <v>1245</v>
      </c>
      <c r="D608" s="282" t="s">
        <v>158</v>
      </c>
      <c r="E608" s="282" t="s">
        <v>209</v>
      </c>
      <c r="F608" s="619">
        <v>2500</v>
      </c>
      <c r="G608" s="613">
        <f>18000*1.05</f>
        <v>18900</v>
      </c>
      <c r="H608" s="614">
        <f t="shared" si="54"/>
        <v>47250000</v>
      </c>
      <c r="I608" s="287">
        <v>2500</v>
      </c>
      <c r="J608" s="495">
        <v>19000</v>
      </c>
      <c r="K608" s="164">
        <f t="shared" si="56"/>
        <v>47500000</v>
      </c>
      <c r="L608" s="288">
        <f t="shared" si="55"/>
        <v>100</v>
      </c>
      <c r="M608" s="615" t="s">
        <v>1234</v>
      </c>
      <c r="N608" s="620" t="s">
        <v>1246</v>
      </c>
      <c r="O608" s="617"/>
      <c r="P608" s="403" t="s">
        <v>50</v>
      </c>
      <c r="Q608" s="115"/>
    </row>
    <row r="609" spans="1:31" ht="18">
      <c r="A609" s="282">
        <v>461</v>
      </c>
      <c r="B609" s="284">
        <v>6</v>
      </c>
      <c r="C609" s="283" t="s">
        <v>1247</v>
      </c>
      <c r="D609" s="282" t="s">
        <v>1239</v>
      </c>
      <c r="E609" s="282" t="s">
        <v>209</v>
      </c>
      <c r="F609" s="612">
        <v>50</v>
      </c>
      <c r="G609" s="613">
        <f>171000*1.05</f>
        <v>179550</v>
      </c>
      <c r="H609" s="614">
        <f t="shared" si="54"/>
        <v>8977500</v>
      </c>
      <c r="I609" s="287">
        <v>50</v>
      </c>
      <c r="J609" s="495">
        <v>180000</v>
      </c>
      <c r="K609" s="164">
        <f t="shared" si="56"/>
        <v>9000000</v>
      </c>
      <c r="L609" s="288">
        <f t="shared" si="55"/>
        <v>450</v>
      </c>
      <c r="M609" s="615" t="s">
        <v>1234</v>
      </c>
      <c r="N609" s="616" t="s">
        <v>1248</v>
      </c>
      <c r="O609" s="617"/>
      <c r="P609" s="403" t="s">
        <v>50</v>
      </c>
      <c r="Q609" s="115"/>
    </row>
    <row r="610" spans="1:31" ht="18">
      <c r="A610" s="282">
        <v>462</v>
      </c>
      <c r="B610" s="284">
        <v>7</v>
      </c>
      <c r="C610" s="283" t="s">
        <v>1249</v>
      </c>
      <c r="D610" s="282" t="s">
        <v>1243</v>
      </c>
      <c r="E610" s="282" t="s">
        <v>209</v>
      </c>
      <c r="F610" s="619">
        <v>8000</v>
      </c>
      <c r="G610" s="613">
        <f>25700*1.05</f>
        <v>26985</v>
      </c>
      <c r="H610" s="614">
        <f t="shared" si="54"/>
        <v>215880000</v>
      </c>
      <c r="I610" s="287">
        <v>8000</v>
      </c>
      <c r="J610" s="495">
        <v>27000</v>
      </c>
      <c r="K610" s="164">
        <f t="shared" si="56"/>
        <v>216000000</v>
      </c>
      <c r="L610" s="288">
        <f t="shared" si="55"/>
        <v>15</v>
      </c>
      <c r="M610" s="615" t="s">
        <v>1250</v>
      </c>
      <c r="N610" s="621" t="s">
        <v>1251</v>
      </c>
      <c r="O610" s="617"/>
      <c r="P610" s="403" t="s">
        <v>50</v>
      </c>
      <c r="Q610" s="115"/>
    </row>
    <row r="611" spans="1:31" ht="18">
      <c r="A611" s="282">
        <v>463</v>
      </c>
      <c r="B611" s="284">
        <v>8</v>
      </c>
      <c r="C611" s="283" t="s">
        <v>1252</v>
      </c>
      <c r="D611" s="282" t="s">
        <v>1243</v>
      </c>
      <c r="E611" s="282" t="s">
        <v>209</v>
      </c>
      <c r="F611" s="612">
        <v>200</v>
      </c>
      <c r="G611" s="613">
        <f>53300*1.05</f>
        <v>55965</v>
      </c>
      <c r="H611" s="614">
        <f t="shared" si="54"/>
        <v>11193000</v>
      </c>
      <c r="I611" s="287">
        <v>200</v>
      </c>
      <c r="J611" s="495">
        <v>56000</v>
      </c>
      <c r="K611" s="164">
        <f t="shared" si="56"/>
        <v>11200000</v>
      </c>
      <c r="L611" s="288">
        <f t="shared" si="55"/>
        <v>35</v>
      </c>
      <c r="M611" s="615" t="s">
        <v>1250</v>
      </c>
      <c r="N611" s="616" t="s">
        <v>1253</v>
      </c>
      <c r="O611" s="617"/>
      <c r="P611" s="403" t="s">
        <v>50</v>
      </c>
      <c r="Q611" s="115"/>
    </row>
    <row r="612" spans="1:31" s="159" customFormat="1" ht="27">
      <c r="A612" s="291">
        <v>464</v>
      </c>
      <c r="B612" s="293">
        <v>9</v>
      </c>
      <c r="C612" s="292" t="s">
        <v>1254</v>
      </c>
      <c r="D612" s="291" t="s">
        <v>1239</v>
      </c>
      <c r="E612" s="291" t="s">
        <v>209</v>
      </c>
      <c r="F612" s="622">
        <v>20</v>
      </c>
      <c r="G612" s="623">
        <v>195000</v>
      </c>
      <c r="H612" s="624">
        <f t="shared" si="54"/>
        <v>3900000</v>
      </c>
      <c r="I612" s="295">
        <v>20</v>
      </c>
      <c r="J612" s="623">
        <v>195000</v>
      </c>
      <c r="K612" s="172">
        <f t="shared" si="56"/>
        <v>3900000</v>
      </c>
      <c r="L612" s="296">
        <f t="shared" si="55"/>
        <v>0</v>
      </c>
      <c r="M612" s="625" t="s">
        <v>1240</v>
      </c>
      <c r="N612" s="626" t="s">
        <v>1255</v>
      </c>
      <c r="O612" s="627"/>
      <c r="P612" s="628" t="s">
        <v>50</v>
      </c>
      <c r="Q612" s="157"/>
      <c r="R612" s="2323"/>
      <c r="S612" s="158"/>
    </row>
    <row r="613" spans="1:31" ht="18">
      <c r="A613" s="282">
        <v>465</v>
      </c>
      <c r="B613" s="284">
        <v>10</v>
      </c>
      <c r="C613" s="283" t="s">
        <v>1256</v>
      </c>
      <c r="D613" s="282" t="s">
        <v>167</v>
      </c>
      <c r="E613" s="282" t="s">
        <v>209</v>
      </c>
      <c r="F613" s="619">
        <v>1500</v>
      </c>
      <c r="G613" s="613">
        <f>11700*1.05</f>
        <v>12285</v>
      </c>
      <c r="H613" s="614">
        <f t="shared" si="54"/>
        <v>18427500</v>
      </c>
      <c r="I613" s="287">
        <v>1500</v>
      </c>
      <c r="J613" s="495">
        <v>12300</v>
      </c>
      <c r="K613" s="164">
        <f t="shared" si="56"/>
        <v>18450000</v>
      </c>
      <c r="L613" s="288">
        <f t="shared" si="55"/>
        <v>15</v>
      </c>
      <c r="M613" s="615" t="s">
        <v>1257</v>
      </c>
      <c r="N613" s="629" t="s">
        <v>1258</v>
      </c>
      <c r="O613" s="617"/>
      <c r="P613" s="403" t="s">
        <v>50</v>
      </c>
      <c r="Q613" s="115"/>
    </row>
    <row r="614" spans="1:31">
      <c r="A614" s="282">
        <v>466</v>
      </c>
      <c r="B614" s="284">
        <v>11</v>
      </c>
      <c r="C614" s="283" t="s">
        <v>1259</v>
      </c>
      <c r="D614" s="282" t="s">
        <v>1260</v>
      </c>
      <c r="E614" s="282" t="s">
        <v>209</v>
      </c>
      <c r="F614" s="612">
        <v>10</v>
      </c>
      <c r="G614" s="613">
        <f>1180000*1.05</f>
        <v>1239000</v>
      </c>
      <c r="H614" s="614">
        <f t="shared" si="54"/>
        <v>12390000</v>
      </c>
      <c r="I614" s="287">
        <v>10</v>
      </c>
      <c r="J614" s="495">
        <v>1240000</v>
      </c>
      <c r="K614" s="164">
        <f t="shared" si="56"/>
        <v>12400000</v>
      </c>
      <c r="L614" s="288">
        <f t="shared" si="55"/>
        <v>1000</v>
      </c>
      <c r="M614" s="615" t="s">
        <v>345</v>
      </c>
      <c r="N614" s="616" t="s">
        <v>1261</v>
      </c>
      <c r="O614" s="617"/>
      <c r="P614" s="403" t="s">
        <v>50</v>
      </c>
      <c r="Q614" s="115"/>
    </row>
    <row r="615" spans="1:31">
      <c r="A615" s="282">
        <v>467</v>
      </c>
      <c r="B615" s="284">
        <v>12</v>
      </c>
      <c r="C615" s="283" t="s">
        <v>1262</v>
      </c>
      <c r="D615" s="282" t="s">
        <v>1260</v>
      </c>
      <c r="E615" s="282" t="s">
        <v>209</v>
      </c>
      <c r="F615" s="612">
        <v>10</v>
      </c>
      <c r="G615" s="613">
        <f>1438000*1.05</f>
        <v>1509900</v>
      </c>
      <c r="H615" s="614">
        <f t="shared" si="54"/>
        <v>15099000</v>
      </c>
      <c r="I615" s="287">
        <v>10</v>
      </c>
      <c r="J615" s="495">
        <v>1510000</v>
      </c>
      <c r="K615" s="164">
        <f t="shared" si="56"/>
        <v>15100000</v>
      </c>
      <c r="L615" s="288">
        <f t="shared" si="55"/>
        <v>100</v>
      </c>
      <c r="M615" s="615" t="s">
        <v>345</v>
      </c>
      <c r="N615" s="616" t="s">
        <v>1263</v>
      </c>
      <c r="O615" s="617"/>
      <c r="P615" s="403" t="s">
        <v>50</v>
      </c>
      <c r="Q615" s="115"/>
    </row>
    <row r="616" spans="1:31">
      <c r="A616" s="630">
        <v>468</v>
      </c>
      <c r="B616" s="631">
        <v>13</v>
      </c>
      <c r="C616" s="632" t="s">
        <v>1264</v>
      </c>
      <c r="D616" s="630" t="s">
        <v>1260</v>
      </c>
      <c r="E616" s="630" t="s">
        <v>209</v>
      </c>
      <c r="F616" s="633">
        <v>10</v>
      </c>
      <c r="G616" s="634">
        <f>1028000*1.05</f>
        <v>1079400</v>
      </c>
      <c r="H616" s="635">
        <f t="shared" si="54"/>
        <v>10794000</v>
      </c>
      <c r="I616" s="414">
        <v>10</v>
      </c>
      <c r="J616" s="636">
        <v>1080000</v>
      </c>
      <c r="K616" s="416">
        <f t="shared" si="56"/>
        <v>10800000</v>
      </c>
      <c r="L616" s="417">
        <f t="shared" si="55"/>
        <v>600</v>
      </c>
      <c r="M616" s="637" t="s">
        <v>345</v>
      </c>
      <c r="N616" s="638" t="s">
        <v>1265</v>
      </c>
      <c r="O616" s="639"/>
      <c r="P616" s="420" t="s">
        <v>50</v>
      </c>
      <c r="Q616" s="115"/>
    </row>
    <row r="617" spans="1:31">
      <c r="A617" s="214"/>
      <c r="B617" s="214"/>
      <c r="C617" s="63" t="s">
        <v>1266</v>
      </c>
      <c r="D617" s="214"/>
      <c r="E617" s="214"/>
      <c r="F617" s="214"/>
      <c r="G617" s="215"/>
      <c r="H617" s="2283">
        <f>+SUM(H604:H616)</f>
        <v>1128744000</v>
      </c>
      <c r="I617" s="248"/>
      <c r="J617" s="248"/>
      <c r="K617" s="216">
        <f>+SUM(K604:K616)</f>
        <v>1134100000</v>
      </c>
      <c r="L617" s="248"/>
      <c r="M617" s="214"/>
      <c r="N617" s="214"/>
      <c r="O617" s="214"/>
      <c r="P617" s="142"/>
      <c r="Q617" s="115"/>
    </row>
    <row r="618" spans="1:31">
      <c r="A618" s="217"/>
      <c r="B618" s="2113" t="s">
        <v>1267</v>
      </c>
      <c r="C618" s="2113"/>
      <c r="D618" s="2113"/>
      <c r="E618" s="2113"/>
      <c r="F618" s="2113"/>
      <c r="G618" s="2113"/>
      <c r="H618" s="2105"/>
      <c r="I618" s="2105"/>
      <c r="J618" s="2105"/>
      <c r="K618" s="2105"/>
    </row>
    <row r="621" spans="1:31">
      <c r="A621" s="71" t="s">
        <v>1268</v>
      </c>
    </row>
    <row r="623" spans="1:31" s="12" customFormat="1">
      <c r="A623" s="2092" t="s">
        <v>5</v>
      </c>
      <c r="B623" s="2092" t="s">
        <v>6</v>
      </c>
      <c r="C623" s="2094" t="s">
        <v>7</v>
      </c>
      <c r="D623" s="2096" t="s">
        <v>8</v>
      </c>
      <c r="E623" s="2092" t="s">
        <v>9</v>
      </c>
      <c r="F623" s="2098" t="s">
        <v>10</v>
      </c>
      <c r="G623" s="2098"/>
      <c r="H623" s="2098"/>
      <c r="I623" s="2098" t="s">
        <v>11</v>
      </c>
      <c r="J623" s="2098"/>
      <c r="K623" s="2098"/>
      <c r="L623" s="2099" t="s">
        <v>12</v>
      </c>
      <c r="M623" s="9"/>
      <c r="N623" s="9"/>
      <c r="O623" s="9"/>
      <c r="P623" s="2101" t="s">
        <v>13</v>
      </c>
      <c r="Q623" s="2265" t="s">
        <v>4740</v>
      </c>
      <c r="R623" s="2319" t="s">
        <v>4754</v>
      </c>
      <c r="S623" s="2267" t="s">
        <v>4767</v>
      </c>
      <c r="T623" s="2268"/>
      <c r="U623" s="2268"/>
      <c r="V623" s="2268"/>
      <c r="W623" s="2269"/>
      <c r="X623" s="2267" t="s">
        <v>4768</v>
      </c>
      <c r="Y623" s="2268"/>
      <c r="Z623" s="2268"/>
      <c r="AA623" s="2268"/>
      <c r="AB623" s="2268"/>
      <c r="AC623" s="2268"/>
      <c r="AD623" s="2268"/>
      <c r="AE623" s="2269"/>
    </row>
    <row r="624" spans="1:31" s="16" customFormat="1" ht="27">
      <c r="A624" s="2093"/>
      <c r="B624" s="2093"/>
      <c r="C624" s="2095"/>
      <c r="D624" s="2097"/>
      <c r="E624" s="2093"/>
      <c r="F624" s="13" t="s">
        <v>14</v>
      </c>
      <c r="G624" s="13" t="s">
        <v>15</v>
      </c>
      <c r="H624" s="13" t="s">
        <v>16</v>
      </c>
      <c r="I624" s="13" t="s">
        <v>14</v>
      </c>
      <c r="J624" s="13" t="s">
        <v>15</v>
      </c>
      <c r="K624" s="13" t="s">
        <v>16</v>
      </c>
      <c r="L624" s="2100"/>
      <c r="M624" s="14" t="s">
        <v>17</v>
      </c>
      <c r="N624" s="14" t="s">
        <v>18</v>
      </c>
      <c r="O624" s="14" t="s">
        <v>19</v>
      </c>
      <c r="P624" s="2102"/>
      <c r="Q624" s="2266"/>
      <c r="R624" s="2320"/>
      <c r="S624" s="2263" t="s">
        <v>4755</v>
      </c>
      <c r="T624" s="2263" t="s">
        <v>4756</v>
      </c>
      <c r="U624" s="2263" t="s">
        <v>4757</v>
      </c>
      <c r="V624" s="2263" t="s">
        <v>4758</v>
      </c>
      <c r="W624" s="2263" t="s">
        <v>4759</v>
      </c>
      <c r="X624" s="2264" t="s">
        <v>4760</v>
      </c>
      <c r="Y624" s="2264" t="s">
        <v>4761</v>
      </c>
      <c r="Z624" s="2264" t="s">
        <v>4762</v>
      </c>
      <c r="AA624" s="2264" t="s">
        <v>4763</v>
      </c>
      <c r="AB624" s="2264" t="s">
        <v>4764</v>
      </c>
      <c r="AC624" s="2264" t="s">
        <v>4765</v>
      </c>
      <c r="AD624" s="2264" t="s">
        <v>4766</v>
      </c>
      <c r="AE624" s="2264" t="s">
        <v>4755</v>
      </c>
    </row>
    <row r="625" spans="1:19" s="70" customFormat="1">
      <c r="A625" s="331">
        <v>1</v>
      </c>
      <c r="B625" s="331">
        <v>2</v>
      </c>
      <c r="C625" s="63">
        <v>3</v>
      </c>
      <c r="D625" s="331">
        <v>4</v>
      </c>
      <c r="E625" s="331">
        <v>5</v>
      </c>
      <c r="F625" s="57">
        <v>6</v>
      </c>
      <c r="G625" s="57">
        <v>7</v>
      </c>
      <c r="H625" s="331">
        <v>8</v>
      </c>
      <c r="I625" s="331">
        <v>9</v>
      </c>
      <c r="J625" s="331">
        <v>10</v>
      </c>
      <c r="K625" s="331">
        <v>11</v>
      </c>
      <c r="L625" s="331">
        <v>12</v>
      </c>
      <c r="M625" s="331">
        <v>9</v>
      </c>
      <c r="N625" s="331">
        <v>10</v>
      </c>
      <c r="O625" s="331">
        <v>11</v>
      </c>
      <c r="P625" s="331">
        <v>13</v>
      </c>
      <c r="Q625" s="332"/>
      <c r="R625" s="2321"/>
      <c r="S625" s="485"/>
    </row>
    <row r="626" spans="1:19" ht="18">
      <c r="A626" s="272">
        <v>469</v>
      </c>
      <c r="B626" s="272">
        <v>1</v>
      </c>
      <c r="C626" s="273" t="s">
        <v>1269</v>
      </c>
      <c r="D626" s="272" t="s">
        <v>1270</v>
      </c>
      <c r="E626" s="272" t="s">
        <v>47</v>
      </c>
      <c r="F626" s="605">
        <v>12000</v>
      </c>
      <c r="G626" s="606">
        <f>11800*1.05</f>
        <v>12390</v>
      </c>
      <c r="H626" s="607">
        <f t="shared" ref="H626:H637" si="57">+G626*F626</f>
        <v>148680000</v>
      </c>
      <c r="I626" s="277">
        <v>12000</v>
      </c>
      <c r="J626" s="608">
        <v>16000</v>
      </c>
      <c r="K626" s="278">
        <f>I626*J626</f>
        <v>192000000</v>
      </c>
      <c r="L626" s="279">
        <f t="shared" ref="L626:L637" si="58">J626-G626</f>
        <v>3610</v>
      </c>
      <c r="M626" s="640" t="s">
        <v>1271</v>
      </c>
      <c r="N626" s="641" t="s">
        <v>1272</v>
      </c>
      <c r="O626" s="611"/>
      <c r="P626" s="400" t="s">
        <v>50</v>
      </c>
      <c r="Q626" s="115"/>
    </row>
    <row r="627" spans="1:19">
      <c r="A627" s="282">
        <v>470</v>
      </c>
      <c r="B627" s="282">
        <v>2</v>
      </c>
      <c r="C627" s="283" t="s">
        <v>1273</v>
      </c>
      <c r="D627" s="282" t="s">
        <v>1274</v>
      </c>
      <c r="E627" s="282" t="s">
        <v>47</v>
      </c>
      <c r="F627" s="619">
        <v>120000</v>
      </c>
      <c r="G627" s="613">
        <f>380*1.05</f>
        <v>399</v>
      </c>
      <c r="H627" s="614">
        <f t="shared" si="57"/>
        <v>47880000</v>
      </c>
      <c r="I627" s="287">
        <v>120000</v>
      </c>
      <c r="J627" s="495">
        <v>450</v>
      </c>
      <c r="K627" s="164">
        <f t="shared" ref="K627:K637" si="59">I627*J627</f>
        <v>54000000</v>
      </c>
      <c r="L627" s="288">
        <f t="shared" si="58"/>
        <v>51</v>
      </c>
      <c r="M627" s="306" t="s">
        <v>1275</v>
      </c>
      <c r="N627" s="642" t="s">
        <v>1276</v>
      </c>
      <c r="O627" s="617"/>
      <c r="P627" s="403" t="s">
        <v>50</v>
      </c>
      <c r="Q627" s="115"/>
    </row>
    <row r="628" spans="1:19" ht="18">
      <c r="A628" s="282">
        <v>471</v>
      </c>
      <c r="B628" s="282">
        <v>3</v>
      </c>
      <c r="C628" s="283" t="s">
        <v>1277</v>
      </c>
      <c r="D628" s="282" t="s">
        <v>1278</v>
      </c>
      <c r="E628" s="282" t="s">
        <v>47</v>
      </c>
      <c r="F628" s="619">
        <v>30000</v>
      </c>
      <c r="G628" s="613">
        <v>8400</v>
      </c>
      <c r="H628" s="614">
        <f t="shared" si="57"/>
        <v>252000000</v>
      </c>
      <c r="I628" s="287">
        <v>30000</v>
      </c>
      <c r="J628" s="495">
        <v>9500</v>
      </c>
      <c r="K628" s="164">
        <f t="shared" si="59"/>
        <v>285000000</v>
      </c>
      <c r="L628" s="288">
        <f t="shared" si="58"/>
        <v>1100</v>
      </c>
      <c r="M628" s="306" t="s">
        <v>1271</v>
      </c>
      <c r="N628" s="642" t="s">
        <v>1279</v>
      </c>
      <c r="O628" s="617"/>
      <c r="P628" s="403" t="s">
        <v>50</v>
      </c>
      <c r="Q628" s="115"/>
    </row>
    <row r="629" spans="1:19">
      <c r="A629" s="282">
        <v>472</v>
      </c>
      <c r="B629" s="282">
        <v>4</v>
      </c>
      <c r="C629" s="283" t="s">
        <v>1280</v>
      </c>
      <c r="D629" s="282" t="s">
        <v>1274</v>
      </c>
      <c r="E629" s="282" t="s">
        <v>47</v>
      </c>
      <c r="F629" s="619">
        <v>6000</v>
      </c>
      <c r="G629" s="613">
        <f>11000*1.05</f>
        <v>11550</v>
      </c>
      <c r="H629" s="614">
        <f t="shared" si="57"/>
        <v>69300000</v>
      </c>
      <c r="I629" s="287">
        <v>6000</v>
      </c>
      <c r="J629" s="495">
        <v>13000</v>
      </c>
      <c r="K629" s="164">
        <f t="shared" si="59"/>
        <v>78000000</v>
      </c>
      <c r="L629" s="288">
        <f t="shared" si="58"/>
        <v>1450</v>
      </c>
      <c r="M629" s="306" t="s">
        <v>1281</v>
      </c>
      <c r="N629" s="642" t="s">
        <v>1282</v>
      </c>
      <c r="O629" s="617"/>
      <c r="P629" s="403" t="s">
        <v>50</v>
      </c>
      <c r="Q629" s="115"/>
    </row>
    <row r="630" spans="1:19">
      <c r="A630" s="282">
        <v>473</v>
      </c>
      <c r="B630" s="282">
        <v>5</v>
      </c>
      <c r="C630" s="283" t="s">
        <v>1283</v>
      </c>
      <c r="D630" s="282" t="s">
        <v>1284</v>
      </c>
      <c r="E630" s="282" t="s">
        <v>47</v>
      </c>
      <c r="F630" s="612">
        <v>100</v>
      </c>
      <c r="G630" s="613">
        <f>220000</f>
        <v>220000</v>
      </c>
      <c r="H630" s="614">
        <f t="shared" si="57"/>
        <v>22000000</v>
      </c>
      <c r="I630" s="287">
        <v>100</v>
      </c>
      <c r="J630" s="495">
        <v>290000</v>
      </c>
      <c r="K630" s="164">
        <f t="shared" si="59"/>
        <v>29000000</v>
      </c>
      <c r="L630" s="288">
        <f t="shared" si="58"/>
        <v>70000</v>
      </c>
      <c r="M630" s="306" t="s">
        <v>1285</v>
      </c>
      <c r="N630" s="642" t="s">
        <v>1286</v>
      </c>
      <c r="O630" s="617"/>
      <c r="P630" s="403" t="s">
        <v>50</v>
      </c>
      <c r="Q630" s="115"/>
    </row>
    <row r="631" spans="1:19">
      <c r="A631" s="282">
        <v>474</v>
      </c>
      <c r="B631" s="282">
        <v>6</v>
      </c>
      <c r="C631" s="283" t="s">
        <v>1287</v>
      </c>
      <c r="D631" s="282" t="s">
        <v>1284</v>
      </c>
      <c r="E631" s="282" t="s">
        <v>47</v>
      </c>
      <c r="F631" s="612">
        <v>150</v>
      </c>
      <c r="G631" s="613">
        <f>260000*1.1</f>
        <v>286000</v>
      </c>
      <c r="H631" s="614">
        <f t="shared" si="57"/>
        <v>42900000</v>
      </c>
      <c r="I631" s="287">
        <v>150</v>
      </c>
      <c r="J631" s="495">
        <v>315000</v>
      </c>
      <c r="K631" s="164">
        <f t="shared" si="59"/>
        <v>47250000</v>
      </c>
      <c r="L631" s="288">
        <f t="shared" si="58"/>
        <v>29000</v>
      </c>
      <c r="M631" s="306" t="s">
        <v>1285</v>
      </c>
      <c r="N631" s="642" t="s">
        <v>1286</v>
      </c>
      <c r="O631" s="617"/>
      <c r="P631" s="403" t="s">
        <v>50</v>
      </c>
      <c r="Q631" s="115"/>
    </row>
    <row r="632" spans="1:19">
      <c r="A632" s="282">
        <v>475</v>
      </c>
      <c r="B632" s="282">
        <v>7</v>
      </c>
      <c r="C632" s="283" t="s">
        <v>1288</v>
      </c>
      <c r="D632" s="282" t="s">
        <v>1284</v>
      </c>
      <c r="E632" s="282" t="s">
        <v>47</v>
      </c>
      <c r="F632" s="612">
        <v>150</v>
      </c>
      <c r="G632" s="613">
        <f>340000*1.1</f>
        <v>374000.00000000006</v>
      </c>
      <c r="H632" s="614">
        <f t="shared" si="57"/>
        <v>56100000.000000007</v>
      </c>
      <c r="I632" s="287">
        <v>150</v>
      </c>
      <c r="J632" s="495">
        <v>460000</v>
      </c>
      <c r="K632" s="164">
        <f t="shared" si="59"/>
        <v>69000000</v>
      </c>
      <c r="L632" s="288">
        <f t="shared" si="58"/>
        <v>85999.999999999942</v>
      </c>
      <c r="M632" s="306" t="s">
        <v>1285</v>
      </c>
      <c r="N632" s="642" t="s">
        <v>1289</v>
      </c>
      <c r="O632" s="617"/>
      <c r="P632" s="403" t="s">
        <v>50</v>
      </c>
      <c r="Q632" s="115"/>
    </row>
    <row r="633" spans="1:19" ht="18">
      <c r="A633" s="282">
        <v>476</v>
      </c>
      <c r="B633" s="282">
        <v>8</v>
      </c>
      <c r="C633" s="283" t="s">
        <v>1290</v>
      </c>
      <c r="D633" s="282" t="s">
        <v>1291</v>
      </c>
      <c r="E633" s="282" t="s">
        <v>435</v>
      </c>
      <c r="F633" s="619">
        <v>1200</v>
      </c>
      <c r="G633" s="613">
        <f>16800*1.05</f>
        <v>17640</v>
      </c>
      <c r="H633" s="614">
        <f t="shared" si="57"/>
        <v>21168000</v>
      </c>
      <c r="I633" s="287">
        <v>1200</v>
      </c>
      <c r="J633" s="495">
        <v>20000</v>
      </c>
      <c r="K633" s="164">
        <f t="shared" si="59"/>
        <v>24000000</v>
      </c>
      <c r="L633" s="288">
        <f t="shared" si="58"/>
        <v>2360</v>
      </c>
      <c r="M633" s="306" t="s">
        <v>1292</v>
      </c>
      <c r="N633" s="642" t="s">
        <v>1293</v>
      </c>
      <c r="O633" s="617"/>
      <c r="P633" s="403" t="s">
        <v>50</v>
      </c>
      <c r="Q633" s="115"/>
    </row>
    <row r="634" spans="1:19">
      <c r="A634" s="282">
        <v>477</v>
      </c>
      <c r="B634" s="282">
        <v>9</v>
      </c>
      <c r="C634" s="283" t="s">
        <v>1294</v>
      </c>
      <c r="D634" s="282" t="s">
        <v>60</v>
      </c>
      <c r="E634" s="282" t="s">
        <v>47</v>
      </c>
      <c r="F634" s="612">
        <v>600</v>
      </c>
      <c r="G634" s="613">
        <f>32000*1.05</f>
        <v>33600</v>
      </c>
      <c r="H634" s="614">
        <f t="shared" si="57"/>
        <v>20160000</v>
      </c>
      <c r="I634" s="287">
        <v>600</v>
      </c>
      <c r="J634" s="495">
        <v>38000</v>
      </c>
      <c r="K634" s="164">
        <f t="shared" si="59"/>
        <v>22800000</v>
      </c>
      <c r="L634" s="288">
        <f t="shared" si="58"/>
        <v>4400</v>
      </c>
      <c r="M634" s="306" t="s">
        <v>1295</v>
      </c>
      <c r="N634" s="642" t="s">
        <v>1296</v>
      </c>
      <c r="O634" s="617"/>
      <c r="P634" s="403" t="s">
        <v>50</v>
      </c>
      <c r="Q634" s="115"/>
    </row>
    <row r="635" spans="1:19" ht="18">
      <c r="A635" s="282">
        <v>478</v>
      </c>
      <c r="B635" s="282">
        <v>10</v>
      </c>
      <c r="C635" s="283" t="s">
        <v>1297</v>
      </c>
      <c r="D635" s="282" t="s">
        <v>60</v>
      </c>
      <c r="E635" s="282" t="s">
        <v>47</v>
      </c>
      <c r="F635" s="612">
        <v>300</v>
      </c>
      <c r="G635" s="613">
        <f>16400*1.05</f>
        <v>17220</v>
      </c>
      <c r="H635" s="614">
        <f t="shared" si="57"/>
        <v>5166000</v>
      </c>
      <c r="I635" s="287">
        <v>300</v>
      </c>
      <c r="J635" s="495">
        <v>27000</v>
      </c>
      <c r="K635" s="164">
        <f t="shared" si="59"/>
        <v>8100000</v>
      </c>
      <c r="L635" s="288">
        <f t="shared" si="58"/>
        <v>9780</v>
      </c>
      <c r="M635" s="306" t="s">
        <v>559</v>
      </c>
      <c r="N635" s="642" t="s">
        <v>1298</v>
      </c>
      <c r="O635" s="617"/>
      <c r="P635" s="403" t="s">
        <v>50</v>
      </c>
      <c r="Q635" s="115"/>
    </row>
    <row r="636" spans="1:19" ht="18">
      <c r="A636" s="282">
        <v>479</v>
      </c>
      <c r="B636" s="282">
        <v>11</v>
      </c>
      <c r="C636" s="283" t="s">
        <v>1299</v>
      </c>
      <c r="D636" s="282" t="s">
        <v>60</v>
      </c>
      <c r="E636" s="282" t="s">
        <v>47</v>
      </c>
      <c r="F636" s="612">
        <v>300</v>
      </c>
      <c r="G636" s="613">
        <f>20000*1.05</f>
        <v>21000</v>
      </c>
      <c r="H636" s="614">
        <f t="shared" si="57"/>
        <v>6300000</v>
      </c>
      <c r="I636" s="287">
        <v>300</v>
      </c>
      <c r="J636" s="495">
        <v>27000</v>
      </c>
      <c r="K636" s="164">
        <f t="shared" si="59"/>
        <v>8100000</v>
      </c>
      <c r="L636" s="288">
        <f t="shared" si="58"/>
        <v>6000</v>
      </c>
      <c r="M636" s="306" t="s">
        <v>559</v>
      </c>
      <c r="N636" s="642" t="s">
        <v>1300</v>
      </c>
      <c r="O636" s="617"/>
      <c r="P636" s="403" t="s">
        <v>50</v>
      </c>
      <c r="Q636" s="115"/>
    </row>
    <row r="637" spans="1:19">
      <c r="A637" s="630">
        <v>480</v>
      </c>
      <c r="B637" s="630">
        <v>12</v>
      </c>
      <c r="C637" s="632" t="s">
        <v>1301</v>
      </c>
      <c r="D637" s="630" t="s">
        <v>1302</v>
      </c>
      <c r="E637" s="630" t="s">
        <v>1302</v>
      </c>
      <c r="F637" s="633">
        <v>10</v>
      </c>
      <c r="G637" s="634">
        <v>4500000</v>
      </c>
      <c r="H637" s="635">
        <f t="shared" si="57"/>
        <v>45000000</v>
      </c>
      <c r="I637" s="414">
        <v>10</v>
      </c>
      <c r="J637" s="636">
        <v>4800000</v>
      </c>
      <c r="K637" s="416">
        <f t="shared" si="59"/>
        <v>48000000</v>
      </c>
      <c r="L637" s="417">
        <f t="shared" si="58"/>
        <v>300000</v>
      </c>
      <c r="M637" s="643" t="s">
        <v>1303</v>
      </c>
      <c r="N637" s="630" t="s">
        <v>1304</v>
      </c>
      <c r="O637" s="639"/>
      <c r="P637" s="420" t="s">
        <v>50</v>
      </c>
      <c r="Q637" s="115"/>
    </row>
    <row r="638" spans="1:19">
      <c r="A638" s="214"/>
      <c r="B638" s="214"/>
      <c r="C638" s="63" t="s">
        <v>1305</v>
      </c>
      <c r="D638" s="214"/>
      <c r="E638" s="214"/>
      <c r="F638" s="214"/>
      <c r="G638" s="215"/>
      <c r="H638" s="2297">
        <f>+SUM(H626:H637)</f>
        <v>736654000</v>
      </c>
      <c r="I638" s="214"/>
      <c r="J638" s="214"/>
      <c r="K638" s="644">
        <f>+SUM(K626:K637)</f>
        <v>865250000</v>
      </c>
      <c r="L638" s="248"/>
      <c r="M638" s="247"/>
      <c r="N638" s="247"/>
      <c r="O638" s="247"/>
      <c r="P638" s="142"/>
      <c r="Q638" s="115"/>
    </row>
    <row r="639" spans="1:19">
      <c r="A639" s="217"/>
      <c r="B639" s="2113" t="s">
        <v>1306</v>
      </c>
      <c r="C639" s="2113"/>
      <c r="D639" s="2113"/>
      <c r="E639" s="2113"/>
      <c r="F639" s="2113"/>
      <c r="G639" s="2113"/>
      <c r="H639" s="2113"/>
      <c r="I639" s="2113"/>
      <c r="J639" s="2113"/>
      <c r="K639" s="2105"/>
    </row>
    <row r="640" spans="1:19">
      <c r="A640" s="217"/>
      <c r="B640" s="218"/>
      <c r="C640" s="218"/>
      <c r="D640" s="218"/>
      <c r="E640" s="218"/>
      <c r="F640" s="218"/>
      <c r="G640" s="218"/>
      <c r="H640" s="218"/>
      <c r="I640" s="218"/>
      <c r="J640" s="218"/>
      <c r="K640" s="218"/>
    </row>
    <row r="641" spans="1:31">
      <c r="A641" s="217"/>
      <c r="B641" s="218"/>
      <c r="C641" s="218"/>
      <c r="D641" s="218"/>
      <c r="E641" s="218"/>
      <c r="F641" s="218"/>
      <c r="G641" s="218"/>
      <c r="H641" s="218"/>
      <c r="I641" s="218"/>
      <c r="J641" s="218"/>
      <c r="K641" s="218"/>
    </row>
    <row r="642" spans="1:31">
      <c r="A642" s="217"/>
      <c r="B642" s="218"/>
      <c r="C642" s="218"/>
      <c r="D642" s="218"/>
      <c r="E642" s="218"/>
      <c r="F642" s="218"/>
      <c r="G642" s="218"/>
      <c r="H642" s="218"/>
      <c r="I642" s="218"/>
      <c r="J642" s="218"/>
      <c r="K642" s="218"/>
    </row>
    <row r="643" spans="1:31">
      <c r="A643" s="217"/>
      <c r="B643" s="218"/>
      <c r="C643" s="218"/>
      <c r="D643" s="218"/>
      <c r="E643" s="218"/>
      <c r="F643" s="218"/>
      <c r="G643" s="218"/>
      <c r="H643" s="218"/>
      <c r="I643" s="218"/>
      <c r="J643" s="218"/>
      <c r="K643" s="218"/>
    </row>
    <row r="645" spans="1:31">
      <c r="A645" s="71" t="s">
        <v>1307</v>
      </c>
    </row>
    <row r="646" spans="1:31" s="12" customFormat="1">
      <c r="A646" s="2092" t="s">
        <v>5</v>
      </c>
      <c r="B646" s="2092" t="s">
        <v>6</v>
      </c>
      <c r="C646" s="2094" t="s">
        <v>7</v>
      </c>
      <c r="D646" s="2096" t="s">
        <v>8</v>
      </c>
      <c r="E646" s="2092" t="s">
        <v>9</v>
      </c>
      <c r="F646" s="2098" t="s">
        <v>10</v>
      </c>
      <c r="G646" s="2098"/>
      <c r="H646" s="2098"/>
      <c r="I646" s="2098" t="s">
        <v>11</v>
      </c>
      <c r="J646" s="2098"/>
      <c r="K646" s="2098"/>
      <c r="L646" s="2099" t="s">
        <v>12</v>
      </c>
      <c r="M646" s="9"/>
      <c r="N646" s="9"/>
      <c r="O646" s="9"/>
      <c r="P646" s="2101" t="s">
        <v>13</v>
      </c>
      <c r="Q646" s="2265" t="s">
        <v>4740</v>
      </c>
      <c r="R646" s="2319" t="s">
        <v>4754</v>
      </c>
      <c r="S646" s="2267" t="s">
        <v>4767</v>
      </c>
      <c r="T646" s="2268"/>
      <c r="U646" s="2268"/>
      <c r="V646" s="2268"/>
      <c r="W646" s="2269"/>
      <c r="X646" s="2267" t="s">
        <v>4768</v>
      </c>
      <c r="Y646" s="2268"/>
      <c r="Z646" s="2268"/>
      <c r="AA646" s="2268"/>
      <c r="AB646" s="2268"/>
      <c r="AC646" s="2268"/>
      <c r="AD646" s="2268"/>
      <c r="AE646" s="2269"/>
    </row>
    <row r="647" spans="1:31" s="16" customFormat="1" ht="27">
      <c r="A647" s="2093"/>
      <c r="B647" s="2093"/>
      <c r="C647" s="2095"/>
      <c r="D647" s="2097"/>
      <c r="E647" s="2093"/>
      <c r="F647" s="13" t="s">
        <v>14</v>
      </c>
      <c r="G647" s="13" t="s">
        <v>15</v>
      </c>
      <c r="H647" s="13" t="s">
        <v>16</v>
      </c>
      <c r="I647" s="13" t="s">
        <v>14</v>
      </c>
      <c r="J647" s="13" t="s">
        <v>15</v>
      </c>
      <c r="K647" s="13" t="s">
        <v>16</v>
      </c>
      <c r="L647" s="2100"/>
      <c r="M647" s="14" t="s">
        <v>17</v>
      </c>
      <c r="N647" s="14" t="s">
        <v>18</v>
      </c>
      <c r="O647" s="14" t="s">
        <v>19</v>
      </c>
      <c r="P647" s="2102"/>
      <c r="Q647" s="2266"/>
      <c r="R647" s="2320"/>
      <c r="S647" s="2263" t="s">
        <v>4755</v>
      </c>
      <c r="T647" s="2263" t="s">
        <v>4756</v>
      </c>
      <c r="U647" s="2263" t="s">
        <v>4757</v>
      </c>
      <c r="V647" s="2263" t="s">
        <v>4758</v>
      </c>
      <c r="W647" s="2263" t="s">
        <v>4759</v>
      </c>
      <c r="X647" s="2264" t="s">
        <v>4760</v>
      </c>
      <c r="Y647" s="2264" t="s">
        <v>4761</v>
      </c>
      <c r="Z647" s="2264" t="s">
        <v>4762</v>
      </c>
      <c r="AA647" s="2264" t="s">
        <v>4763</v>
      </c>
      <c r="AB647" s="2264" t="s">
        <v>4764</v>
      </c>
      <c r="AC647" s="2264" t="s">
        <v>4765</v>
      </c>
      <c r="AD647" s="2264" t="s">
        <v>4766</v>
      </c>
      <c r="AE647" s="2264" t="s">
        <v>4755</v>
      </c>
    </row>
    <row r="648" spans="1:31" s="70" customFormat="1">
      <c r="A648" s="331">
        <v>1</v>
      </c>
      <c r="B648" s="331">
        <v>2</v>
      </c>
      <c r="C648" s="63">
        <v>3</v>
      </c>
      <c r="D648" s="331">
        <v>4</v>
      </c>
      <c r="E648" s="331">
        <v>5</v>
      </c>
      <c r="F648" s="57">
        <v>6</v>
      </c>
      <c r="G648" s="57">
        <v>7</v>
      </c>
      <c r="H648" s="331">
        <v>8</v>
      </c>
      <c r="I648" s="331">
        <v>9</v>
      </c>
      <c r="J648" s="331">
        <v>10</v>
      </c>
      <c r="K648" s="331">
        <v>11</v>
      </c>
      <c r="L648" s="331">
        <v>12</v>
      </c>
      <c r="M648" s="331">
        <v>9</v>
      </c>
      <c r="N648" s="331">
        <v>10</v>
      </c>
      <c r="O648" s="331">
        <v>11</v>
      </c>
      <c r="P648" s="21">
        <v>13</v>
      </c>
      <c r="Q648" s="22"/>
      <c r="R648" s="2321"/>
      <c r="S648" s="485"/>
    </row>
    <row r="649" spans="1:31" ht="18">
      <c r="A649" s="274">
        <v>481</v>
      </c>
      <c r="B649" s="274">
        <v>1</v>
      </c>
      <c r="C649" s="645" t="s">
        <v>1308</v>
      </c>
      <c r="D649" s="274" t="s">
        <v>1309</v>
      </c>
      <c r="E649" s="274" t="s">
        <v>276</v>
      </c>
      <c r="F649" s="272">
        <v>100</v>
      </c>
      <c r="G649" s="646">
        <v>22000</v>
      </c>
      <c r="H649" s="647">
        <f>F649*G649</f>
        <v>2200000</v>
      </c>
      <c r="I649" s="277">
        <v>100</v>
      </c>
      <c r="J649" s="608">
        <v>25000</v>
      </c>
      <c r="K649" s="278">
        <f>I649*J649</f>
        <v>2500000</v>
      </c>
      <c r="L649" s="279">
        <f t="shared" ref="L649:L660" si="60">J649-G649</f>
        <v>3000</v>
      </c>
      <c r="M649" s="274" t="s">
        <v>500</v>
      </c>
      <c r="N649" s="274" t="s">
        <v>1310</v>
      </c>
      <c r="O649" s="648"/>
      <c r="P649" s="400" t="s">
        <v>1311</v>
      </c>
      <c r="Q649" s="115"/>
    </row>
    <row r="650" spans="1:31" ht="18">
      <c r="A650" s="284">
        <v>482</v>
      </c>
      <c r="B650" s="284">
        <v>2</v>
      </c>
      <c r="C650" s="301" t="s">
        <v>1312</v>
      </c>
      <c r="D650" s="284" t="s">
        <v>1313</v>
      </c>
      <c r="E650" s="284" t="s">
        <v>1314</v>
      </c>
      <c r="F650" s="282">
        <v>150</v>
      </c>
      <c r="G650" s="649">
        <v>310000</v>
      </c>
      <c r="H650" s="650">
        <f t="shared" ref="H650:H660" si="61">F650*G650</f>
        <v>46500000</v>
      </c>
      <c r="I650" s="287">
        <v>150</v>
      </c>
      <c r="J650" s="495">
        <v>350000</v>
      </c>
      <c r="K650" s="164">
        <f t="shared" ref="K650:K660" si="62">I650*J650</f>
        <v>52500000</v>
      </c>
      <c r="L650" s="288">
        <f t="shared" si="60"/>
        <v>40000</v>
      </c>
      <c r="M650" s="284" t="s">
        <v>1315</v>
      </c>
      <c r="N650" s="284" t="s">
        <v>1316</v>
      </c>
      <c r="O650" s="651"/>
      <c r="P650" s="403" t="s">
        <v>1311</v>
      </c>
      <c r="Q650" s="115"/>
    </row>
    <row r="651" spans="1:31" ht="27">
      <c r="A651" s="284">
        <v>483</v>
      </c>
      <c r="B651" s="284">
        <v>3</v>
      </c>
      <c r="C651" s="301" t="s">
        <v>1317</v>
      </c>
      <c r="D651" s="284" t="s">
        <v>539</v>
      </c>
      <c r="E651" s="284" t="s">
        <v>1318</v>
      </c>
      <c r="F651" s="282">
        <v>150</v>
      </c>
      <c r="G651" s="649">
        <v>280000</v>
      </c>
      <c r="H651" s="650">
        <f t="shared" si="61"/>
        <v>42000000</v>
      </c>
      <c r="I651" s="287">
        <v>150</v>
      </c>
      <c r="J651" s="495">
        <v>305000</v>
      </c>
      <c r="K651" s="164">
        <f t="shared" si="62"/>
        <v>45750000</v>
      </c>
      <c r="L651" s="288">
        <f t="shared" si="60"/>
        <v>25000</v>
      </c>
      <c r="M651" s="284" t="s">
        <v>1319</v>
      </c>
      <c r="N651" s="284" t="s">
        <v>1320</v>
      </c>
      <c r="O651" s="650"/>
      <c r="P651" s="403" t="s">
        <v>1311</v>
      </c>
      <c r="Q651" s="115"/>
    </row>
    <row r="652" spans="1:31" ht="27">
      <c r="A652" s="284">
        <v>484</v>
      </c>
      <c r="B652" s="284">
        <v>4</v>
      </c>
      <c r="C652" s="301" t="s">
        <v>1321</v>
      </c>
      <c r="D652" s="284" t="s">
        <v>539</v>
      </c>
      <c r="E652" s="284" t="s">
        <v>1318</v>
      </c>
      <c r="F652" s="282">
        <v>150</v>
      </c>
      <c r="G652" s="649">
        <v>180000</v>
      </c>
      <c r="H652" s="650">
        <f t="shared" si="61"/>
        <v>27000000</v>
      </c>
      <c r="I652" s="287">
        <v>150</v>
      </c>
      <c r="J652" s="495">
        <v>190000</v>
      </c>
      <c r="K652" s="164">
        <f t="shared" si="62"/>
        <v>28500000</v>
      </c>
      <c r="L652" s="288">
        <f t="shared" si="60"/>
        <v>10000</v>
      </c>
      <c r="M652" s="284" t="s">
        <v>1319</v>
      </c>
      <c r="N652" s="284" t="s">
        <v>1322</v>
      </c>
      <c r="O652" s="651"/>
      <c r="P652" s="403" t="s">
        <v>1311</v>
      </c>
      <c r="Q652" s="115"/>
    </row>
    <row r="653" spans="1:31" ht="45">
      <c r="A653" s="284">
        <v>485</v>
      </c>
      <c r="B653" s="284">
        <v>5</v>
      </c>
      <c r="C653" s="301" t="s">
        <v>1323</v>
      </c>
      <c r="D653" s="284" t="s">
        <v>1324</v>
      </c>
      <c r="E653" s="284" t="s">
        <v>1325</v>
      </c>
      <c r="F653" s="282">
        <v>10</v>
      </c>
      <c r="G653" s="649">
        <v>395000</v>
      </c>
      <c r="H653" s="650">
        <f t="shared" si="61"/>
        <v>3950000</v>
      </c>
      <c r="I653" s="287">
        <v>10</v>
      </c>
      <c r="J653" s="495">
        <v>430000</v>
      </c>
      <c r="K653" s="164">
        <f t="shared" si="62"/>
        <v>4300000</v>
      </c>
      <c r="L653" s="288">
        <f t="shared" si="60"/>
        <v>35000</v>
      </c>
      <c r="M653" s="650" t="s">
        <v>1326</v>
      </c>
      <c r="N653" s="650" t="s">
        <v>1327</v>
      </c>
      <c r="O653" s="284"/>
      <c r="P653" s="403" t="s">
        <v>1311</v>
      </c>
      <c r="Q653" s="115"/>
    </row>
    <row r="654" spans="1:31" ht="18">
      <c r="A654" s="284">
        <v>486</v>
      </c>
      <c r="B654" s="284">
        <v>6</v>
      </c>
      <c r="C654" s="301" t="s">
        <v>1328</v>
      </c>
      <c r="D654" s="284" t="s">
        <v>1324</v>
      </c>
      <c r="E654" s="284" t="s">
        <v>1325</v>
      </c>
      <c r="F654" s="282">
        <v>150</v>
      </c>
      <c r="G654" s="649">
        <v>210000</v>
      </c>
      <c r="H654" s="650">
        <f t="shared" si="61"/>
        <v>31500000</v>
      </c>
      <c r="I654" s="287">
        <v>150</v>
      </c>
      <c r="J654" s="495">
        <v>256000</v>
      </c>
      <c r="K654" s="164">
        <f t="shared" si="62"/>
        <v>38400000</v>
      </c>
      <c r="L654" s="288">
        <f t="shared" si="60"/>
        <v>46000</v>
      </c>
      <c r="M654" s="284" t="s">
        <v>1315</v>
      </c>
      <c r="N654" s="284" t="s">
        <v>1329</v>
      </c>
      <c r="O654" s="284"/>
      <c r="P654" s="403" t="s">
        <v>1311</v>
      </c>
      <c r="Q654" s="115"/>
    </row>
    <row r="655" spans="1:31" ht="90">
      <c r="A655" s="284">
        <v>487</v>
      </c>
      <c r="B655" s="284">
        <v>7</v>
      </c>
      <c r="C655" s="652" t="s">
        <v>1330</v>
      </c>
      <c r="D655" s="284" t="s">
        <v>539</v>
      </c>
      <c r="E655" s="284" t="s">
        <v>47</v>
      </c>
      <c r="F655" s="282">
        <v>150</v>
      </c>
      <c r="G655" s="649">
        <v>2900000</v>
      </c>
      <c r="H655" s="650">
        <f t="shared" si="61"/>
        <v>435000000</v>
      </c>
      <c r="I655" s="287">
        <v>150</v>
      </c>
      <c r="J655" s="495">
        <v>3200000</v>
      </c>
      <c r="K655" s="164">
        <f t="shared" si="62"/>
        <v>480000000</v>
      </c>
      <c r="L655" s="288">
        <f t="shared" si="60"/>
        <v>300000</v>
      </c>
      <c r="M655" s="650" t="s">
        <v>1331</v>
      </c>
      <c r="N655" s="650" t="s">
        <v>1332</v>
      </c>
      <c r="O655" s="653" t="s">
        <v>1333</v>
      </c>
      <c r="P655" s="403" t="s">
        <v>1311</v>
      </c>
      <c r="Q655" s="115"/>
    </row>
    <row r="656" spans="1:31" ht="18">
      <c r="A656" s="284">
        <v>488</v>
      </c>
      <c r="B656" s="284">
        <v>8</v>
      </c>
      <c r="C656" s="283" t="s">
        <v>1334</v>
      </c>
      <c r="D656" s="284" t="s">
        <v>1335</v>
      </c>
      <c r="E656" s="284" t="s">
        <v>47</v>
      </c>
      <c r="F656" s="282">
        <v>6</v>
      </c>
      <c r="G656" s="649">
        <v>7900000</v>
      </c>
      <c r="H656" s="650">
        <f t="shared" si="61"/>
        <v>47400000</v>
      </c>
      <c r="I656" s="287">
        <v>6</v>
      </c>
      <c r="J656" s="495">
        <v>8000000</v>
      </c>
      <c r="K656" s="164">
        <f t="shared" si="62"/>
        <v>48000000</v>
      </c>
      <c r="L656" s="288">
        <f t="shared" si="60"/>
        <v>100000</v>
      </c>
      <c r="M656" s="302" t="s">
        <v>1336</v>
      </c>
      <c r="N656" s="302" t="s">
        <v>1337</v>
      </c>
      <c r="O656" s="284"/>
      <c r="P656" s="403" t="s">
        <v>1311</v>
      </c>
      <c r="Q656" s="115"/>
    </row>
    <row r="657" spans="1:31" ht="171">
      <c r="A657" s="284">
        <v>489</v>
      </c>
      <c r="B657" s="284">
        <v>9</v>
      </c>
      <c r="C657" s="654" t="s">
        <v>1338</v>
      </c>
      <c r="D657" s="284" t="s">
        <v>1339</v>
      </c>
      <c r="E657" s="284" t="s">
        <v>47</v>
      </c>
      <c r="F657" s="282">
        <v>50</v>
      </c>
      <c r="G657" s="649">
        <v>3400000</v>
      </c>
      <c r="H657" s="650">
        <f t="shared" si="61"/>
        <v>170000000</v>
      </c>
      <c r="I657" s="287">
        <v>50</v>
      </c>
      <c r="J657" s="495">
        <v>3750000</v>
      </c>
      <c r="K657" s="164">
        <f t="shared" si="62"/>
        <v>187500000</v>
      </c>
      <c r="L657" s="288">
        <f t="shared" si="60"/>
        <v>350000</v>
      </c>
      <c r="M657" s="306" t="s">
        <v>1340</v>
      </c>
      <c r="N657" s="302" t="s">
        <v>1341</v>
      </c>
      <c r="O657" s="653" t="s">
        <v>1342</v>
      </c>
      <c r="P657" s="403" t="s">
        <v>1311</v>
      </c>
      <c r="Q657" s="115"/>
    </row>
    <row r="658" spans="1:31" ht="171">
      <c r="A658" s="284">
        <v>490</v>
      </c>
      <c r="B658" s="284">
        <v>10</v>
      </c>
      <c r="C658" s="655" t="s">
        <v>1343</v>
      </c>
      <c r="D658" s="284" t="s">
        <v>1339</v>
      </c>
      <c r="E658" s="284" t="s">
        <v>47</v>
      </c>
      <c r="F658" s="282">
        <v>50</v>
      </c>
      <c r="G658" s="649">
        <v>3200000</v>
      </c>
      <c r="H658" s="650">
        <f t="shared" si="61"/>
        <v>160000000</v>
      </c>
      <c r="I658" s="287">
        <v>50</v>
      </c>
      <c r="J658" s="495">
        <v>3550000</v>
      </c>
      <c r="K658" s="164">
        <f t="shared" si="62"/>
        <v>177500000</v>
      </c>
      <c r="L658" s="288">
        <f t="shared" si="60"/>
        <v>350000</v>
      </c>
      <c r="M658" s="306" t="s">
        <v>1340</v>
      </c>
      <c r="N658" s="302" t="s">
        <v>1344</v>
      </c>
      <c r="O658" s="653" t="s">
        <v>1342</v>
      </c>
      <c r="P658" s="403" t="s">
        <v>1311</v>
      </c>
      <c r="Q658" s="115"/>
    </row>
    <row r="659" spans="1:31" ht="18">
      <c r="A659" s="284">
        <v>491</v>
      </c>
      <c r="B659" s="284">
        <v>11</v>
      </c>
      <c r="C659" s="656" t="s">
        <v>1345</v>
      </c>
      <c r="D659" s="284" t="s">
        <v>1346</v>
      </c>
      <c r="E659" s="284" t="s">
        <v>1318</v>
      </c>
      <c r="F659" s="282">
        <v>200</v>
      </c>
      <c r="G659" s="649">
        <v>230000</v>
      </c>
      <c r="H659" s="650">
        <f t="shared" si="61"/>
        <v>46000000</v>
      </c>
      <c r="I659" s="287">
        <v>200</v>
      </c>
      <c r="J659" s="495">
        <v>230000</v>
      </c>
      <c r="K659" s="164">
        <f t="shared" si="62"/>
        <v>46000000</v>
      </c>
      <c r="L659" s="288">
        <f t="shared" si="60"/>
        <v>0</v>
      </c>
      <c r="M659" s="302"/>
      <c r="N659" s="302" t="s">
        <v>1347</v>
      </c>
      <c r="O659" s="284"/>
      <c r="P659" s="403" t="s">
        <v>1311</v>
      </c>
      <c r="Q659" s="115"/>
    </row>
    <row r="660" spans="1:31" ht="18">
      <c r="A660" s="631">
        <v>492</v>
      </c>
      <c r="B660" s="631">
        <v>12</v>
      </c>
      <c r="C660" s="411" t="s">
        <v>1348</v>
      </c>
      <c r="D660" s="631" t="s">
        <v>1349</v>
      </c>
      <c r="E660" s="631" t="s">
        <v>47</v>
      </c>
      <c r="F660" s="630">
        <v>50</v>
      </c>
      <c r="G660" s="657">
        <v>330000</v>
      </c>
      <c r="H660" s="658">
        <f t="shared" si="61"/>
        <v>16500000</v>
      </c>
      <c r="I660" s="414">
        <v>50</v>
      </c>
      <c r="J660" s="636">
        <v>340000</v>
      </c>
      <c r="K660" s="416">
        <f t="shared" si="62"/>
        <v>17000000</v>
      </c>
      <c r="L660" s="417">
        <f t="shared" si="60"/>
        <v>10000</v>
      </c>
      <c r="M660" s="631" t="s">
        <v>1319</v>
      </c>
      <c r="N660" s="418" t="s">
        <v>1350</v>
      </c>
      <c r="O660" s="631"/>
      <c r="P660" s="420" t="s">
        <v>1311</v>
      </c>
      <c r="Q660" s="115"/>
    </row>
    <row r="661" spans="1:31">
      <c r="A661" s="2139" t="s">
        <v>1351</v>
      </c>
      <c r="B661" s="2139"/>
      <c r="C661" s="2139"/>
      <c r="D661" s="2139"/>
      <c r="E661" s="2139"/>
      <c r="F661" s="2139"/>
      <c r="G661" s="2139"/>
      <c r="H661" s="2298">
        <f>SUM(H649:H660)</f>
        <v>1028050000</v>
      </c>
      <c r="I661" s="248"/>
      <c r="J661" s="248"/>
      <c r="K661" s="659">
        <f>SUM(K649:K660)</f>
        <v>1127950000</v>
      </c>
      <c r="L661" s="248"/>
      <c r="M661" s="142"/>
      <c r="N661" s="142"/>
      <c r="O661" s="660">
        <f>SUM(O649:O652)</f>
        <v>0</v>
      </c>
      <c r="P661" s="142"/>
      <c r="Q661" s="115"/>
    </row>
    <row r="662" spans="1:31">
      <c r="A662" s="142"/>
      <c r="B662" s="142"/>
      <c r="C662" s="2140" t="s">
        <v>1352</v>
      </c>
      <c r="D662" s="2140"/>
      <c r="E662" s="2140"/>
      <c r="F662" s="2140"/>
      <c r="G662" s="2140"/>
      <c r="H662" s="142"/>
      <c r="I662" s="142"/>
      <c r="J662" s="142"/>
      <c r="K662" s="142"/>
      <c r="L662" s="248"/>
      <c r="M662" s="247"/>
      <c r="N662" s="247"/>
      <c r="O662" s="247"/>
      <c r="P662" s="142"/>
      <c r="Q662" s="115"/>
    </row>
    <row r="663" spans="1:31">
      <c r="A663" s="115"/>
      <c r="B663" s="115"/>
      <c r="C663" s="2138" t="s">
        <v>1353</v>
      </c>
      <c r="D663" s="2138"/>
      <c r="E663" s="2138"/>
      <c r="F663" s="2138"/>
      <c r="G663" s="2138"/>
      <c r="H663" s="2138"/>
      <c r="I663" s="2138"/>
      <c r="J663" s="2138"/>
      <c r="K663" s="2138"/>
    </row>
    <row r="666" spans="1:31">
      <c r="A666" s="71" t="s">
        <v>1354</v>
      </c>
    </row>
    <row r="668" spans="1:31" s="12" customFormat="1">
      <c r="A668" s="2092" t="s">
        <v>5</v>
      </c>
      <c r="B668" s="2092" t="s">
        <v>6</v>
      </c>
      <c r="C668" s="2094" t="s">
        <v>7</v>
      </c>
      <c r="D668" s="2096" t="s">
        <v>8</v>
      </c>
      <c r="E668" s="2092" t="s">
        <v>9</v>
      </c>
      <c r="F668" s="2098" t="s">
        <v>10</v>
      </c>
      <c r="G668" s="2098"/>
      <c r="H668" s="2098"/>
      <c r="I668" s="2098" t="s">
        <v>11</v>
      </c>
      <c r="J668" s="2098"/>
      <c r="K668" s="2098"/>
      <c r="L668" s="2099" t="s">
        <v>12</v>
      </c>
      <c r="M668" s="9"/>
      <c r="N668" s="9"/>
      <c r="O668" s="9"/>
      <c r="P668" s="2101" t="s">
        <v>13</v>
      </c>
      <c r="Q668" s="2265" t="s">
        <v>4740</v>
      </c>
      <c r="R668" s="2319" t="s">
        <v>4754</v>
      </c>
      <c r="S668" s="2267" t="s">
        <v>4767</v>
      </c>
      <c r="T668" s="2268"/>
      <c r="U668" s="2268"/>
      <c r="V668" s="2268"/>
      <c r="W668" s="2269"/>
      <c r="X668" s="2267" t="s">
        <v>4768</v>
      </c>
      <c r="Y668" s="2268"/>
      <c r="Z668" s="2268"/>
      <c r="AA668" s="2268"/>
      <c r="AB668" s="2268"/>
      <c r="AC668" s="2268"/>
      <c r="AD668" s="2268"/>
      <c r="AE668" s="2269"/>
    </row>
    <row r="669" spans="1:31" s="16" customFormat="1" ht="27">
      <c r="A669" s="2093"/>
      <c r="B669" s="2093"/>
      <c r="C669" s="2095"/>
      <c r="D669" s="2097"/>
      <c r="E669" s="2093"/>
      <c r="F669" s="13" t="s">
        <v>14</v>
      </c>
      <c r="G669" s="13" t="s">
        <v>15</v>
      </c>
      <c r="H669" s="13" t="s">
        <v>16</v>
      </c>
      <c r="I669" s="13" t="s">
        <v>14</v>
      </c>
      <c r="J669" s="13" t="s">
        <v>15</v>
      </c>
      <c r="K669" s="13" t="s">
        <v>16</v>
      </c>
      <c r="L669" s="2100"/>
      <c r="M669" s="14" t="s">
        <v>17</v>
      </c>
      <c r="N669" s="14" t="s">
        <v>18</v>
      </c>
      <c r="O669" s="14" t="s">
        <v>19</v>
      </c>
      <c r="P669" s="2102"/>
      <c r="Q669" s="2266"/>
      <c r="R669" s="2320"/>
      <c r="S669" s="2263" t="s">
        <v>4755</v>
      </c>
      <c r="T669" s="2263" t="s">
        <v>4756</v>
      </c>
      <c r="U669" s="2263" t="s">
        <v>4757</v>
      </c>
      <c r="V669" s="2263" t="s">
        <v>4758</v>
      </c>
      <c r="W669" s="2263" t="s">
        <v>4759</v>
      </c>
      <c r="X669" s="2264" t="s">
        <v>4760</v>
      </c>
      <c r="Y669" s="2264" t="s">
        <v>4761</v>
      </c>
      <c r="Z669" s="2264" t="s">
        <v>4762</v>
      </c>
      <c r="AA669" s="2264" t="s">
        <v>4763</v>
      </c>
      <c r="AB669" s="2264" t="s">
        <v>4764</v>
      </c>
      <c r="AC669" s="2264" t="s">
        <v>4765</v>
      </c>
      <c r="AD669" s="2264" t="s">
        <v>4766</v>
      </c>
      <c r="AE669" s="2264" t="s">
        <v>4755</v>
      </c>
    </row>
    <row r="670" spans="1:31" s="70" customFormat="1">
      <c r="A670" s="331">
        <v>1</v>
      </c>
      <c r="B670" s="331">
        <v>2</v>
      </c>
      <c r="C670" s="63">
        <v>3</v>
      </c>
      <c r="D670" s="331">
        <v>4</v>
      </c>
      <c r="E670" s="331">
        <v>5</v>
      </c>
      <c r="F670" s="57">
        <v>6</v>
      </c>
      <c r="G670" s="57">
        <v>7</v>
      </c>
      <c r="H670" s="331">
        <v>8</v>
      </c>
      <c r="I670" s="331">
        <v>9</v>
      </c>
      <c r="J670" s="331">
        <v>10</v>
      </c>
      <c r="K670" s="331">
        <v>11</v>
      </c>
      <c r="L670" s="331">
        <v>12</v>
      </c>
      <c r="M670" s="331">
        <v>9</v>
      </c>
      <c r="N670" s="331">
        <v>10</v>
      </c>
      <c r="O670" s="331">
        <v>11</v>
      </c>
      <c r="P670" s="21">
        <v>13</v>
      </c>
      <c r="Q670" s="22"/>
      <c r="R670" s="2321"/>
      <c r="S670" s="485"/>
    </row>
    <row r="671" spans="1:31" ht="18">
      <c r="A671" s="661">
        <v>493</v>
      </c>
      <c r="B671" s="661">
        <v>1</v>
      </c>
      <c r="C671" s="662" t="s">
        <v>1355</v>
      </c>
      <c r="D671" s="661" t="s">
        <v>452</v>
      </c>
      <c r="E671" s="661" t="s">
        <v>47</v>
      </c>
      <c r="F671" s="663">
        <v>15</v>
      </c>
      <c r="G671" s="664">
        <v>8850000</v>
      </c>
      <c r="H671" s="664">
        <f t="shared" ref="H671:H690" si="63">F671*G671</f>
        <v>132750000</v>
      </c>
      <c r="I671" s="277">
        <v>15</v>
      </c>
      <c r="J671" s="608">
        <v>8850000</v>
      </c>
      <c r="K671" s="278">
        <f>I671*J671</f>
        <v>132750000</v>
      </c>
      <c r="L671" s="279">
        <f t="shared" ref="L671:L690" si="64">J671-G671</f>
        <v>0</v>
      </c>
      <c r="M671" s="274" t="s">
        <v>1356</v>
      </c>
      <c r="N671" s="272" t="s">
        <v>1357</v>
      </c>
      <c r="O671" s="274">
        <v>1</v>
      </c>
      <c r="P671" s="400" t="s">
        <v>1358</v>
      </c>
      <c r="Q671" s="115"/>
    </row>
    <row r="672" spans="1:31" ht="18">
      <c r="A672" s="665">
        <v>494</v>
      </c>
      <c r="B672" s="665">
        <v>2</v>
      </c>
      <c r="C672" s="654" t="s">
        <v>1359</v>
      </c>
      <c r="D672" s="665" t="s">
        <v>452</v>
      </c>
      <c r="E672" s="665" t="s">
        <v>47</v>
      </c>
      <c r="F672" s="666">
        <v>10</v>
      </c>
      <c r="G672" s="667">
        <v>4500000</v>
      </c>
      <c r="H672" s="667">
        <f t="shared" si="63"/>
        <v>45000000</v>
      </c>
      <c r="I672" s="287">
        <v>10</v>
      </c>
      <c r="J672" s="495">
        <v>4500000</v>
      </c>
      <c r="K672" s="164">
        <f t="shared" ref="K672:K690" si="65">I672*J672</f>
        <v>45000000</v>
      </c>
      <c r="L672" s="288">
        <f t="shared" si="64"/>
        <v>0</v>
      </c>
      <c r="M672" s="284" t="s">
        <v>1356</v>
      </c>
      <c r="N672" s="282" t="s">
        <v>1360</v>
      </c>
      <c r="O672" s="284">
        <v>1</v>
      </c>
      <c r="P672" s="403" t="s">
        <v>1358</v>
      </c>
      <c r="Q672" s="115"/>
    </row>
    <row r="673" spans="1:17" ht="18">
      <c r="A673" s="665">
        <v>495</v>
      </c>
      <c r="B673" s="665">
        <v>3</v>
      </c>
      <c r="C673" s="654" t="s">
        <v>1361</v>
      </c>
      <c r="D673" s="665" t="s">
        <v>452</v>
      </c>
      <c r="E673" s="665" t="s">
        <v>47</v>
      </c>
      <c r="F673" s="666">
        <v>10</v>
      </c>
      <c r="G673" s="667">
        <v>6900000</v>
      </c>
      <c r="H673" s="667">
        <f t="shared" si="63"/>
        <v>69000000</v>
      </c>
      <c r="I673" s="287">
        <v>10</v>
      </c>
      <c r="J673" s="495">
        <v>6900000</v>
      </c>
      <c r="K673" s="164">
        <f t="shared" si="65"/>
        <v>69000000</v>
      </c>
      <c r="L673" s="288">
        <f t="shared" si="64"/>
        <v>0</v>
      </c>
      <c r="M673" s="284" t="s">
        <v>1356</v>
      </c>
      <c r="N673" s="282" t="s">
        <v>1362</v>
      </c>
      <c r="O673" s="284">
        <v>1</v>
      </c>
      <c r="P673" s="403" t="s">
        <v>1358</v>
      </c>
      <c r="Q673" s="115"/>
    </row>
    <row r="674" spans="1:17" ht="18">
      <c r="A674" s="665">
        <v>496</v>
      </c>
      <c r="B674" s="665">
        <v>4</v>
      </c>
      <c r="C674" s="654" t="s">
        <v>1363</v>
      </c>
      <c r="D674" s="665" t="s">
        <v>452</v>
      </c>
      <c r="E674" s="665" t="s">
        <v>47</v>
      </c>
      <c r="F674" s="666">
        <v>15</v>
      </c>
      <c r="G674" s="667">
        <v>8200000</v>
      </c>
      <c r="H674" s="667">
        <f t="shared" si="63"/>
        <v>123000000</v>
      </c>
      <c r="I674" s="287">
        <v>15</v>
      </c>
      <c r="J674" s="495">
        <v>8200000</v>
      </c>
      <c r="K674" s="164">
        <f t="shared" si="65"/>
        <v>123000000</v>
      </c>
      <c r="L674" s="288">
        <f t="shared" si="64"/>
        <v>0</v>
      </c>
      <c r="M674" s="284" t="s">
        <v>1356</v>
      </c>
      <c r="N674" s="282" t="s">
        <v>1364</v>
      </c>
      <c r="O674" s="284">
        <v>1</v>
      </c>
      <c r="P674" s="403" t="s">
        <v>1358</v>
      </c>
      <c r="Q674" s="115"/>
    </row>
    <row r="675" spans="1:17" ht="18">
      <c r="A675" s="665">
        <v>497</v>
      </c>
      <c r="B675" s="665">
        <v>5</v>
      </c>
      <c r="C675" s="654" t="s">
        <v>1365</v>
      </c>
      <c r="D675" s="665" t="s">
        <v>452</v>
      </c>
      <c r="E675" s="665" t="s">
        <v>47</v>
      </c>
      <c r="F675" s="666">
        <v>5</v>
      </c>
      <c r="G675" s="667">
        <v>9900000</v>
      </c>
      <c r="H675" s="667">
        <f t="shared" si="63"/>
        <v>49500000</v>
      </c>
      <c r="I675" s="287">
        <v>5</v>
      </c>
      <c r="J675" s="495">
        <v>9900000</v>
      </c>
      <c r="K675" s="164">
        <f t="shared" si="65"/>
        <v>49500000</v>
      </c>
      <c r="L675" s="288">
        <f t="shared" si="64"/>
        <v>0</v>
      </c>
      <c r="M675" s="284" t="s">
        <v>1356</v>
      </c>
      <c r="N675" s="282" t="s">
        <v>1366</v>
      </c>
      <c r="O675" s="284">
        <v>1</v>
      </c>
      <c r="P675" s="403" t="s">
        <v>1358</v>
      </c>
      <c r="Q675" s="115"/>
    </row>
    <row r="676" spans="1:17" ht="18">
      <c r="A676" s="665">
        <v>498</v>
      </c>
      <c r="B676" s="665">
        <v>6</v>
      </c>
      <c r="C676" s="654" t="s">
        <v>1367</v>
      </c>
      <c r="D676" s="665" t="s">
        <v>452</v>
      </c>
      <c r="E676" s="665" t="s">
        <v>47</v>
      </c>
      <c r="F676" s="666">
        <v>8</v>
      </c>
      <c r="G676" s="667">
        <v>8900000</v>
      </c>
      <c r="H676" s="667">
        <f t="shared" si="63"/>
        <v>71200000</v>
      </c>
      <c r="I676" s="287">
        <v>8</v>
      </c>
      <c r="J676" s="495">
        <v>8900000</v>
      </c>
      <c r="K676" s="164">
        <f t="shared" si="65"/>
        <v>71200000</v>
      </c>
      <c r="L676" s="288">
        <f t="shared" si="64"/>
        <v>0</v>
      </c>
      <c r="M676" s="284" t="s">
        <v>1356</v>
      </c>
      <c r="N676" s="284" t="s">
        <v>1368</v>
      </c>
      <c r="O676" s="284">
        <v>1</v>
      </c>
      <c r="P676" s="403" t="s">
        <v>1358</v>
      </c>
      <c r="Q676" s="115"/>
    </row>
    <row r="677" spans="1:17" ht="18">
      <c r="A677" s="665">
        <v>499</v>
      </c>
      <c r="B677" s="665">
        <v>7</v>
      </c>
      <c r="C677" s="654" t="s">
        <v>1369</v>
      </c>
      <c r="D677" s="665" t="s">
        <v>452</v>
      </c>
      <c r="E677" s="665" t="s">
        <v>47</v>
      </c>
      <c r="F677" s="666">
        <v>8</v>
      </c>
      <c r="G677" s="667">
        <v>8900000</v>
      </c>
      <c r="H677" s="667">
        <f t="shared" si="63"/>
        <v>71200000</v>
      </c>
      <c r="I677" s="287">
        <v>8</v>
      </c>
      <c r="J677" s="495">
        <v>8900000</v>
      </c>
      <c r="K677" s="164">
        <f t="shared" si="65"/>
        <v>71200000</v>
      </c>
      <c r="L677" s="288">
        <f t="shared" si="64"/>
        <v>0</v>
      </c>
      <c r="M677" s="284" t="s">
        <v>1356</v>
      </c>
      <c r="N677" s="282" t="s">
        <v>1370</v>
      </c>
      <c r="O677" s="284">
        <v>1</v>
      </c>
      <c r="P677" s="403" t="s">
        <v>1358</v>
      </c>
      <c r="Q677" s="115"/>
    </row>
    <row r="678" spans="1:17" ht="27">
      <c r="A678" s="665">
        <v>500</v>
      </c>
      <c r="B678" s="665">
        <v>8</v>
      </c>
      <c r="C678" s="654" t="s">
        <v>1371</v>
      </c>
      <c r="D678" s="665" t="s">
        <v>452</v>
      </c>
      <c r="E678" s="665" t="s">
        <v>47</v>
      </c>
      <c r="F678" s="666">
        <v>8</v>
      </c>
      <c r="G678" s="667">
        <v>9900000</v>
      </c>
      <c r="H678" s="667">
        <f t="shared" si="63"/>
        <v>79200000</v>
      </c>
      <c r="I678" s="287">
        <v>8</v>
      </c>
      <c r="J678" s="495">
        <v>9900000</v>
      </c>
      <c r="K678" s="164">
        <f t="shared" si="65"/>
        <v>79200000</v>
      </c>
      <c r="L678" s="288">
        <f t="shared" si="64"/>
        <v>0</v>
      </c>
      <c r="M678" s="284" t="s">
        <v>1356</v>
      </c>
      <c r="N678" s="284" t="s">
        <v>1372</v>
      </c>
      <c r="O678" s="284">
        <v>1</v>
      </c>
      <c r="P678" s="403" t="s">
        <v>1358</v>
      </c>
      <c r="Q678" s="115"/>
    </row>
    <row r="679" spans="1:17" ht="18">
      <c r="A679" s="665">
        <v>501</v>
      </c>
      <c r="B679" s="665">
        <v>9</v>
      </c>
      <c r="C679" s="654" t="s">
        <v>1373</v>
      </c>
      <c r="D679" s="665" t="s">
        <v>452</v>
      </c>
      <c r="E679" s="665" t="s">
        <v>47</v>
      </c>
      <c r="F679" s="666">
        <v>8</v>
      </c>
      <c r="G679" s="667">
        <v>7500000</v>
      </c>
      <c r="H679" s="667">
        <f t="shared" si="63"/>
        <v>60000000</v>
      </c>
      <c r="I679" s="287">
        <v>8</v>
      </c>
      <c r="J679" s="495">
        <v>7500000</v>
      </c>
      <c r="K679" s="164">
        <f t="shared" si="65"/>
        <v>60000000</v>
      </c>
      <c r="L679" s="288">
        <f t="shared" si="64"/>
        <v>0</v>
      </c>
      <c r="M679" s="284" t="s">
        <v>1356</v>
      </c>
      <c r="N679" s="282" t="s">
        <v>1374</v>
      </c>
      <c r="O679" s="284">
        <v>1</v>
      </c>
      <c r="P679" s="403" t="s">
        <v>1358</v>
      </c>
      <c r="Q679" s="115"/>
    </row>
    <row r="680" spans="1:17" ht="18">
      <c r="A680" s="665">
        <v>502</v>
      </c>
      <c r="B680" s="665">
        <v>10</v>
      </c>
      <c r="C680" s="654" t="s">
        <v>1375</v>
      </c>
      <c r="D680" s="665" t="s">
        <v>452</v>
      </c>
      <c r="E680" s="665" t="s">
        <v>47</v>
      </c>
      <c r="F680" s="666">
        <v>10</v>
      </c>
      <c r="G680" s="667">
        <v>8500000</v>
      </c>
      <c r="H680" s="667">
        <f t="shared" si="63"/>
        <v>85000000</v>
      </c>
      <c r="I680" s="287">
        <v>10</v>
      </c>
      <c r="J680" s="495">
        <v>8500000</v>
      </c>
      <c r="K680" s="164">
        <f t="shared" si="65"/>
        <v>85000000</v>
      </c>
      <c r="L680" s="288">
        <f t="shared" si="64"/>
        <v>0</v>
      </c>
      <c r="M680" s="284" t="s">
        <v>1356</v>
      </c>
      <c r="N680" s="282" t="s">
        <v>1376</v>
      </c>
      <c r="O680" s="284">
        <v>1</v>
      </c>
      <c r="P680" s="403" t="s">
        <v>1358</v>
      </c>
      <c r="Q680" s="115"/>
    </row>
    <row r="681" spans="1:17" ht="18">
      <c r="A681" s="665">
        <v>503</v>
      </c>
      <c r="B681" s="665">
        <v>11</v>
      </c>
      <c r="C681" s="654" t="s">
        <v>1377</v>
      </c>
      <c r="D681" s="665" t="s">
        <v>452</v>
      </c>
      <c r="E681" s="665" t="s">
        <v>47</v>
      </c>
      <c r="F681" s="666">
        <v>8</v>
      </c>
      <c r="G681" s="667">
        <v>4900000</v>
      </c>
      <c r="H681" s="667">
        <f t="shared" si="63"/>
        <v>39200000</v>
      </c>
      <c r="I681" s="287">
        <v>8</v>
      </c>
      <c r="J681" s="495">
        <v>4900000</v>
      </c>
      <c r="K681" s="164">
        <f t="shared" si="65"/>
        <v>39200000</v>
      </c>
      <c r="L681" s="288">
        <f t="shared" si="64"/>
        <v>0</v>
      </c>
      <c r="M681" s="284" t="s">
        <v>1356</v>
      </c>
      <c r="N681" s="282" t="s">
        <v>1378</v>
      </c>
      <c r="O681" s="284">
        <v>1</v>
      </c>
      <c r="P681" s="403" t="s">
        <v>1358</v>
      </c>
      <c r="Q681" s="115"/>
    </row>
    <row r="682" spans="1:17" ht="18">
      <c r="A682" s="665">
        <v>504</v>
      </c>
      <c r="B682" s="665">
        <v>12</v>
      </c>
      <c r="C682" s="654" t="s">
        <v>1379</v>
      </c>
      <c r="D682" s="665" t="s">
        <v>452</v>
      </c>
      <c r="E682" s="665" t="s">
        <v>47</v>
      </c>
      <c r="F682" s="666">
        <v>20</v>
      </c>
      <c r="G682" s="667">
        <v>6900000</v>
      </c>
      <c r="H682" s="667">
        <f t="shared" si="63"/>
        <v>138000000</v>
      </c>
      <c r="I682" s="287">
        <v>20</v>
      </c>
      <c r="J682" s="495">
        <v>6900000</v>
      </c>
      <c r="K682" s="164">
        <f t="shared" si="65"/>
        <v>138000000</v>
      </c>
      <c r="L682" s="288">
        <f t="shared" si="64"/>
        <v>0</v>
      </c>
      <c r="M682" s="284" t="s">
        <v>1356</v>
      </c>
      <c r="N682" s="282" t="s">
        <v>1380</v>
      </c>
      <c r="O682" s="284">
        <v>1</v>
      </c>
      <c r="P682" s="403" t="s">
        <v>1358</v>
      </c>
      <c r="Q682" s="115"/>
    </row>
    <row r="683" spans="1:17" ht="18">
      <c r="A683" s="665">
        <v>505</v>
      </c>
      <c r="B683" s="665">
        <v>13</v>
      </c>
      <c r="C683" s="654" t="s">
        <v>1381</v>
      </c>
      <c r="D683" s="665" t="s">
        <v>452</v>
      </c>
      <c r="E683" s="665" t="s">
        <v>47</v>
      </c>
      <c r="F683" s="666">
        <v>10</v>
      </c>
      <c r="G683" s="667">
        <v>7900000</v>
      </c>
      <c r="H683" s="667">
        <f t="shared" si="63"/>
        <v>79000000</v>
      </c>
      <c r="I683" s="287">
        <v>10</v>
      </c>
      <c r="J683" s="495">
        <v>7900000</v>
      </c>
      <c r="K683" s="164">
        <f t="shared" si="65"/>
        <v>79000000</v>
      </c>
      <c r="L683" s="288">
        <f t="shared" si="64"/>
        <v>0</v>
      </c>
      <c r="M683" s="284" t="s">
        <v>1356</v>
      </c>
      <c r="N683" s="282" t="s">
        <v>1370</v>
      </c>
      <c r="O683" s="284">
        <v>1</v>
      </c>
      <c r="P683" s="403" t="s">
        <v>1358</v>
      </c>
      <c r="Q683" s="115"/>
    </row>
    <row r="684" spans="1:17" ht="18">
      <c r="A684" s="665">
        <v>506</v>
      </c>
      <c r="B684" s="665">
        <v>14</v>
      </c>
      <c r="C684" s="654" t="s">
        <v>1382</v>
      </c>
      <c r="D684" s="665" t="s">
        <v>452</v>
      </c>
      <c r="E684" s="665" t="s">
        <v>47</v>
      </c>
      <c r="F684" s="666">
        <v>300</v>
      </c>
      <c r="G684" s="667">
        <v>430000</v>
      </c>
      <c r="H684" s="667">
        <f t="shared" si="63"/>
        <v>129000000</v>
      </c>
      <c r="I684" s="287">
        <v>300</v>
      </c>
      <c r="J684" s="495">
        <v>430000</v>
      </c>
      <c r="K684" s="164">
        <f t="shared" si="65"/>
        <v>129000000</v>
      </c>
      <c r="L684" s="288">
        <f t="shared" si="64"/>
        <v>0</v>
      </c>
      <c r="M684" s="284" t="s">
        <v>1356</v>
      </c>
      <c r="N684" s="282" t="s">
        <v>1383</v>
      </c>
      <c r="O684" s="284">
        <v>1</v>
      </c>
      <c r="P684" s="403" t="s">
        <v>1358</v>
      </c>
      <c r="Q684" s="115"/>
    </row>
    <row r="685" spans="1:17" ht="18">
      <c r="A685" s="665">
        <v>507</v>
      </c>
      <c r="B685" s="665">
        <v>15</v>
      </c>
      <c r="C685" s="654" t="s">
        <v>1384</v>
      </c>
      <c r="D685" s="665" t="s">
        <v>452</v>
      </c>
      <c r="E685" s="665" t="s">
        <v>47</v>
      </c>
      <c r="F685" s="666">
        <v>300</v>
      </c>
      <c r="G685" s="667">
        <v>460000</v>
      </c>
      <c r="H685" s="667">
        <f t="shared" si="63"/>
        <v>138000000</v>
      </c>
      <c r="I685" s="287">
        <v>300</v>
      </c>
      <c r="J685" s="495">
        <v>460000</v>
      </c>
      <c r="K685" s="164">
        <f t="shared" si="65"/>
        <v>138000000</v>
      </c>
      <c r="L685" s="288">
        <f t="shared" si="64"/>
        <v>0</v>
      </c>
      <c r="M685" s="284" t="s">
        <v>1356</v>
      </c>
      <c r="N685" s="282" t="s">
        <v>1385</v>
      </c>
      <c r="O685" s="284">
        <v>1</v>
      </c>
      <c r="P685" s="403" t="s">
        <v>1358</v>
      </c>
      <c r="Q685" s="115"/>
    </row>
    <row r="686" spans="1:17" ht="18">
      <c r="A686" s="665">
        <v>508</v>
      </c>
      <c r="B686" s="665">
        <v>16</v>
      </c>
      <c r="C686" s="654" t="s">
        <v>1386</v>
      </c>
      <c r="D686" s="665" t="s">
        <v>452</v>
      </c>
      <c r="E686" s="665" t="s">
        <v>47</v>
      </c>
      <c r="F686" s="666">
        <v>300</v>
      </c>
      <c r="G686" s="667">
        <v>480000</v>
      </c>
      <c r="H686" s="667">
        <f t="shared" si="63"/>
        <v>144000000</v>
      </c>
      <c r="I686" s="287">
        <v>300</v>
      </c>
      <c r="J686" s="495">
        <v>480000</v>
      </c>
      <c r="K686" s="164">
        <f t="shared" si="65"/>
        <v>144000000</v>
      </c>
      <c r="L686" s="288">
        <f t="shared" si="64"/>
        <v>0</v>
      </c>
      <c r="M686" s="284" t="s">
        <v>1356</v>
      </c>
      <c r="N686" s="282" t="s">
        <v>1385</v>
      </c>
      <c r="O686" s="284">
        <v>1</v>
      </c>
      <c r="P686" s="403" t="s">
        <v>1358</v>
      </c>
      <c r="Q686" s="115"/>
    </row>
    <row r="687" spans="1:17" ht="18">
      <c r="A687" s="665">
        <v>509</v>
      </c>
      <c r="B687" s="665">
        <v>17</v>
      </c>
      <c r="C687" s="654" t="s">
        <v>1387</v>
      </c>
      <c r="D687" s="665" t="s">
        <v>452</v>
      </c>
      <c r="E687" s="665" t="s">
        <v>47</v>
      </c>
      <c r="F687" s="666">
        <v>300</v>
      </c>
      <c r="G687" s="667">
        <v>460000</v>
      </c>
      <c r="H687" s="667">
        <f t="shared" si="63"/>
        <v>138000000</v>
      </c>
      <c r="I687" s="287">
        <v>300</v>
      </c>
      <c r="J687" s="495">
        <v>460000</v>
      </c>
      <c r="K687" s="164">
        <f t="shared" si="65"/>
        <v>138000000</v>
      </c>
      <c r="L687" s="288">
        <f t="shared" si="64"/>
        <v>0</v>
      </c>
      <c r="M687" s="284" t="s">
        <v>1356</v>
      </c>
      <c r="N687" s="282" t="s">
        <v>1388</v>
      </c>
      <c r="O687" s="284">
        <v>1</v>
      </c>
      <c r="P687" s="403" t="s">
        <v>1358</v>
      </c>
      <c r="Q687" s="115"/>
    </row>
    <row r="688" spans="1:17" ht="18">
      <c r="A688" s="665">
        <v>510</v>
      </c>
      <c r="B688" s="665">
        <v>18</v>
      </c>
      <c r="C688" s="654" t="s">
        <v>1389</v>
      </c>
      <c r="D688" s="665" t="s">
        <v>452</v>
      </c>
      <c r="E688" s="665" t="s">
        <v>47</v>
      </c>
      <c r="F688" s="666">
        <v>300</v>
      </c>
      <c r="G688" s="667">
        <v>480000</v>
      </c>
      <c r="H688" s="667">
        <f t="shared" si="63"/>
        <v>144000000</v>
      </c>
      <c r="I688" s="287">
        <v>300</v>
      </c>
      <c r="J688" s="495">
        <v>480000</v>
      </c>
      <c r="K688" s="164">
        <f t="shared" si="65"/>
        <v>144000000</v>
      </c>
      <c r="L688" s="288">
        <f t="shared" si="64"/>
        <v>0</v>
      </c>
      <c r="M688" s="284" t="s">
        <v>1356</v>
      </c>
      <c r="N688" s="282" t="s">
        <v>1390</v>
      </c>
      <c r="O688" s="284">
        <v>1</v>
      </c>
      <c r="P688" s="403" t="s">
        <v>1358</v>
      </c>
      <c r="Q688" s="115"/>
    </row>
    <row r="689" spans="1:31" ht="18">
      <c r="A689" s="665">
        <v>511</v>
      </c>
      <c r="B689" s="665">
        <v>19</v>
      </c>
      <c r="C689" s="654" t="s">
        <v>1391</v>
      </c>
      <c r="D689" s="665" t="s">
        <v>452</v>
      </c>
      <c r="E689" s="665" t="s">
        <v>47</v>
      </c>
      <c r="F689" s="666">
        <v>300</v>
      </c>
      <c r="G689" s="667">
        <v>490000</v>
      </c>
      <c r="H689" s="667">
        <f t="shared" si="63"/>
        <v>147000000</v>
      </c>
      <c r="I689" s="287">
        <v>300</v>
      </c>
      <c r="J689" s="495">
        <v>490000</v>
      </c>
      <c r="K689" s="164">
        <f t="shared" si="65"/>
        <v>147000000</v>
      </c>
      <c r="L689" s="288">
        <f t="shared" si="64"/>
        <v>0</v>
      </c>
      <c r="M689" s="284" t="s">
        <v>1356</v>
      </c>
      <c r="N689" s="282" t="s">
        <v>1392</v>
      </c>
      <c r="O689" s="284">
        <v>1</v>
      </c>
      <c r="P689" s="403" t="s">
        <v>1358</v>
      </c>
      <c r="Q689" s="115"/>
    </row>
    <row r="690" spans="1:31" s="676" customFormat="1" ht="18">
      <c r="A690" s="668">
        <v>512</v>
      </c>
      <c r="B690" s="668">
        <v>20</v>
      </c>
      <c r="C690" s="669" t="s">
        <v>1393</v>
      </c>
      <c r="D690" s="668" t="s">
        <v>452</v>
      </c>
      <c r="E690" s="668" t="s">
        <v>47</v>
      </c>
      <c r="F690" s="670">
        <v>200</v>
      </c>
      <c r="G690" s="671">
        <v>490000</v>
      </c>
      <c r="H690" s="671">
        <f t="shared" si="63"/>
        <v>98000000</v>
      </c>
      <c r="I690" s="672">
        <v>200</v>
      </c>
      <c r="J690" s="416">
        <v>490000</v>
      </c>
      <c r="K690" s="416">
        <f t="shared" si="65"/>
        <v>98000000</v>
      </c>
      <c r="L690" s="413">
        <f t="shared" si="64"/>
        <v>0</v>
      </c>
      <c r="M690" s="643" t="s">
        <v>1356</v>
      </c>
      <c r="N690" s="673" t="s">
        <v>1394</v>
      </c>
      <c r="O690" s="631">
        <v>1</v>
      </c>
      <c r="P690" s="420" t="s">
        <v>1358</v>
      </c>
      <c r="Q690" s="115"/>
      <c r="R690" s="2331"/>
      <c r="S690" s="675"/>
    </row>
    <row r="691" spans="1:31">
      <c r="A691" s="2141" t="s">
        <v>1395</v>
      </c>
      <c r="B691" s="2141"/>
      <c r="C691" s="2141"/>
      <c r="D691" s="2141"/>
      <c r="E691" s="2141"/>
      <c r="F691" s="2141"/>
      <c r="G691" s="2141"/>
      <c r="H691" s="2299">
        <f>SUM(H671:H690)</f>
        <v>1980050000</v>
      </c>
      <c r="I691" s="104"/>
      <c r="J691" s="104"/>
      <c r="K691" s="104">
        <f>SUM(K671:K690)</f>
        <v>1980050000</v>
      </c>
      <c r="L691" s="248"/>
      <c r="M691" s="247"/>
      <c r="N691" s="247"/>
      <c r="O691" s="247"/>
      <c r="P691" s="142"/>
      <c r="Q691" s="115"/>
    </row>
    <row r="692" spans="1:31">
      <c r="A692" s="2142" t="s">
        <v>1396</v>
      </c>
      <c r="B692" s="2142"/>
      <c r="C692" s="2142"/>
      <c r="D692" s="2142"/>
      <c r="E692" s="2142"/>
      <c r="F692" s="2142"/>
      <c r="G692" s="2142"/>
      <c r="H692" s="2142"/>
      <c r="I692" s="2142"/>
      <c r="J692" s="2142"/>
      <c r="K692" s="2142"/>
    </row>
    <row r="695" spans="1:31">
      <c r="A695" s="71" t="s">
        <v>1397</v>
      </c>
    </row>
    <row r="696" spans="1:31" s="12" customFormat="1" ht="10.15" customHeight="1">
      <c r="A696" s="2092" t="s">
        <v>5</v>
      </c>
      <c r="B696" s="2092" t="s">
        <v>6</v>
      </c>
      <c r="C696" s="2094" t="s">
        <v>7</v>
      </c>
      <c r="D696" s="2096" t="s">
        <v>8</v>
      </c>
      <c r="E696" s="2092" t="s">
        <v>9</v>
      </c>
      <c r="F696" s="2098" t="s">
        <v>10</v>
      </c>
      <c r="G696" s="2098"/>
      <c r="H696" s="2098"/>
      <c r="I696" s="2098" t="s">
        <v>11</v>
      </c>
      <c r="J696" s="2098"/>
      <c r="K696" s="2098"/>
      <c r="L696" s="2099" t="s">
        <v>12</v>
      </c>
      <c r="M696" s="9"/>
      <c r="N696" s="9"/>
      <c r="O696" s="9"/>
      <c r="P696" s="2101" t="s">
        <v>13</v>
      </c>
      <c r="Q696" s="2265" t="s">
        <v>4740</v>
      </c>
      <c r="R696" s="2319" t="s">
        <v>4754</v>
      </c>
      <c r="S696" s="2267" t="s">
        <v>4767</v>
      </c>
      <c r="T696" s="2268"/>
      <c r="U696" s="2268"/>
      <c r="V696" s="2268"/>
      <c r="W696" s="2269"/>
      <c r="X696" s="2267" t="s">
        <v>4768</v>
      </c>
      <c r="Y696" s="2268"/>
      <c r="Z696" s="2268"/>
      <c r="AA696" s="2268"/>
      <c r="AB696" s="2268"/>
      <c r="AC696" s="2268"/>
      <c r="AD696" s="2268"/>
      <c r="AE696" s="2269"/>
    </row>
    <row r="697" spans="1:31" s="16" customFormat="1" ht="35.450000000000003" customHeight="1">
      <c r="A697" s="2093"/>
      <c r="B697" s="2093"/>
      <c r="C697" s="2095"/>
      <c r="D697" s="2097"/>
      <c r="E697" s="2093"/>
      <c r="F697" s="13" t="s">
        <v>14</v>
      </c>
      <c r="G697" s="13" t="s">
        <v>15</v>
      </c>
      <c r="H697" s="13" t="s">
        <v>16</v>
      </c>
      <c r="I697" s="13" t="s">
        <v>14</v>
      </c>
      <c r="J697" s="13" t="s">
        <v>15</v>
      </c>
      <c r="K697" s="13" t="s">
        <v>16</v>
      </c>
      <c r="L697" s="2100"/>
      <c r="M697" s="14" t="s">
        <v>17</v>
      </c>
      <c r="N697" s="14" t="s">
        <v>18</v>
      </c>
      <c r="O697" s="14" t="s">
        <v>19</v>
      </c>
      <c r="P697" s="2102"/>
      <c r="Q697" s="2266"/>
      <c r="R697" s="2320"/>
      <c r="S697" s="2263" t="s">
        <v>4755</v>
      </c>
      <c r="T697" s="2263" t="s">
        <v>4756</v>
      </c>
      <c r="U697" s="2263" t="s">
        <v>4757</v>
      </c>
      <c r="V697" s="2263" t="s">
        <v>4758</v>
      </c>
      <c r="W697" s="2263" t="s">
        <v>4759</v>
      </c>
      <c r="X697" s="2264" t="s">
        <v>4760</v>
      </c>
      <c r="Y697" s="2264" t="s">
        <v>4761</v>
      </c>
      <c r="Z697" s="2264" t="s">
        <v>4762</v>
      </c>
      <c r="AA697" s="2264" t="s">
        <v>4763</v>
      </c>
      <c r="AB697" s="2264" t="s">
        <v>4764</v>
      </c>
      <c r="AC697" s="2264" t="s">
        <v>4765</v>
      </c>
      <c r="AD697" s="2264" t="s">
        <v>4766</v>
      </c>
      <c r="AE697" s="2264" t="s">
        <v>4755</v>
      </c>
    </row>
    <row r="698" spans="1:31" s="70" customFormat="1">
      <c r="A698" s="331">
        <v>1</v>
      </c>
      <c r="B698" s="331">
        <v>2</v>
      </c>
      <c r="C698" s="63">
        <v>3</v>
      </c>
      <c r="D698" s="331">
        <v>4</v>
      </c>
      <c r="E698" s="331">
        <v>5</v>
      </c>
      <c r="F698" s="57">
        <v>6</v>
      </c>
      <c r="G698" s="57">
        <v>7</v>
      </c>
      <c r="H698" s="331">
        <v>8</v>
      </c>
      <c r="I698" s="331">
        <v>9</v>
      </c>
      <c r="J698" s="331">
        <v>10</v>
      </c>
      <c r="K698" s="331">
        <v>11</v>
      </c>
      <c r="L698" s="331">
        <v>12</v>
      </c>
      <c r="M698" s="331">
        <v>9</v>
      </c>
      <c r="N698" s="331">
        <v>10</v>
      </c>
      <c r="O698" s="331">
        <v>11</v>
      </c>
      <c r="P698" s="21">
        <v>13</v>
      </c>
      <c r="Q698" s="22"/>
      <c r="R698" s="2321"/>
      <c r="S698" s="485"/>
    </row>
    <row r="699" spans="1:31" ht="22.9" customHeight="1">
      <c r="A699" s="677" t="s">
        <v>1398</v>
      </c>
      <c r="B699" s="677" t="s">
        <v>1399</v>
      </c>
      <c r="C699" s="678" t="s">
        <v>1400</v>
      </c>
      <c r="D699" s="678" t="s">
        <v>1401</v>
      </c>
      <c r="E699" s="679" t="s">
        <v>192</v>
      </c>
      <c r="F699" s="679" t="s">
        <v>1402</v>
      </c>
      <c r="G699" s="680">
        <v>2615000</v>
      </c>
      <c r="H699" s="680">
        <f t="shared" ref="H699:H704" si="66">G699*F699</f>
        <v>26150000</v>
      </c>
      <c r="I699" s="681">
        <v>10</v>
      </c>
      <c r="J699" s="682">
        <v>3190000.0000000005</v>
      </c>
      <c r="K699" s="682">
        <f t="shared" ref="K699:K713" si="67">I699*J699</f>
        <v>31900000.000000004</v>
      </c>
      <c r="L699" s="682">
        <f t="shared" ref="L699:L713" si="68">J699-G699</f>
        <v>575000.00000000047</v>
      </c>
      <c r="M699" s="683" t="s">
        <v>1403</v>
      </c>
      <c r="N699" s="677" t="s">
        <v>1404</v>
      </c>
      <c r="O699" s="684" t="s">
        <v>1405</v>
      </c>
      <c r="P699" s="400" t="s">
        <v>1406</v>
      </c>
      <c r="Q699" s="115"/>
    </row>
    <row r="700" spans="1:31" ht="27">
      <c r="A700" s="685" t="s">
        <v>1407</v>
      </c>
      <c r="B700" s="685" t="s">
        <v>1408</v>
      </c>
      <c r="C700" s="686" t="s">
        <v>1409</v>
      </c>
      <c r="D700" s="686" t="s">
        <v>1410</v>
      </c>
      <c r="E700" s="687" t="s">
        <v>1411</v>
      </c>
      <c r="F700" s="688">
        <v>200</v>
      </c>
      <c r="G700" s="689">
        <v>140000</v>
      </c>
      <c r="H700" s="690">
        <f t="shared" si="66"/>
        <v>28000000</v>
      </c>
      <c r="I700" s="691">
        <v>200</v>
      </c>
      <c r="J700" s="692">
        <v>154000</v>
      </c>
      <c r="K700" s="692">
        <f t="shared" si="67"/>
        <v>30800000</v>
      </c>
      <c r="L700" s="692">
        <f t="shared" si="68"/>
        <v>14000</v>
      </c>
      <c r="M700" s="693" t="s">
        <v>1412</v>
      </c>
      <c r="N700" s="685" t="s">
        <v>1413</v>
      </c>
      <c r="O700" s="694" t="s">
        <v>1414</v>
      </c>
      <c r="P700" s="403" t="s">
        <v>1406</v>
      </c>
      <c r="Q700" s="115"/>
    </row>
    <row r="701" spans="1:31" ht="18" customHeight="1">
      <c r="A701" s="685" t="s">
        <v>1415</v>
      </c>
      <c r="B701" s="685" t="s">
        <v>1416</v>
      </c>
      <c r="C701" s="686" t="s">
        <v>1417</v>
      </c>
      <c r="D701" s="686" t="s">
        <v>1418</v>
      </c>
      <c r="E701" s="687" t="s">
        <v>424</v>
      </c>
      <c r="F701" s="688">
        <v>60</v>
      </c>
      <c r="G701" s="689">
        <v>130000</v>
      </c>
      <c r="H701" s="690">
        <f t="shared" si="66"/>
        <v>7800000</v>
      </c>
      <c r="I701" s="691">
        <v>60</v>
      </c>
      <c r="J701" s="692">
        <v>141900</v>
      </c>
      <c r="K701" s="692">
        <f t="shared" si="67"/>
        <v>8514000</v>
      </c>
      <c r="L701" s="692">
        <f t="shared" si="68"/>
        <v>11900</v>
      </c>
      <c r="M701" s="693" t="s">
        <v>1419</v>
      </c>
      <c r="N701" s="685" t="s">
        <v>1420</v>
      </c>
      <c r="O701" s="694" t="s">
        <v>1414</v>
      </c>
      <c r="P701" s="403" t="s">
        <v>1406</v>
      </c>
      <c r="Q701" s="115"/>
    </row>
    <row r="702" spans="1:31" s="73" customFormat="1" ht="22.9" customHeight="1">
      <c r="A702" s="685" t="s">
        <v>1421</v>
      </c>
      <c r="B702" s="685" t="s">
        <v>1422</v>
      </c>
      <c r="C702" s="686" t="s">
        <v>1423</v>
      </c>
      <c r="D702" s="686" t="s">
        <v>1424</v>
      </c>
      <c r="E702" s="687" t="s">
        <v>47</v>
      </c>
      <c r="F702" s="688">
        <v>150</v>
      </c>
      <c r="G702" s="689">
        <v>2100000</v>
      </c>
      <c r="H702" s="690">
        <f t="shared" si="66"/>
        <v>315000000</v>
      </c>
      <c r="I702" s="691">
        <v>150</v>
      </c>
      <c r="J702" s="692">
        <v>2200000</v>
      </c>
      <c r="K702" s="692">
        <f t="shared" si="67"/>
        <v>330000000</v>
      </c>
      <c r="L702" s="692">
        <f t="shared" si="68"/>
        <v>100000</v>
      </c>
      <c r="M702" s="693" t="s">
        <v>1425</v>
      </c>
      <c r="N702" s="685" t="s">
        <v>1426</v>
      </c>
      <c r="O702" s="694" t="s">
        <v>1405</v>
      </c>
      <c r="P702" s="403" t="s">
        <v>1406</v>
      </c>
      <c r="Q702" s="115"/>
      <c r="R702" s="1024"/>
      <c r="S702" s="75"/>
      <c r="T702" s="71"/>
      <c r="U702" s="71"/>
      <c r="V702" s="71"/>
      <c r="W702" s="71"/>
      <c r="X702" s="71"/>
      <c r="Y702" s="71"/>
      <c r="Z702" s="71"/>
      <c r="AA702" s="71"/>
      <c r="AB702" s="71"/>
      <c r="AC702" s="71"/>
    </row>
    <row r="703" spans="1:31" s="73" customFormat="1" ht="29.45" customHeight="1">
      <c r="A703" s="694" t="s">
        <v>1427</v>
      </c>
      <c r="B703" s="694" t="s">
        <v>1428</v>
      </c>
      <c r="C703" s="695" t="s">
        <v>1429</v>
      </c>
      <c r="D703" s="695" t="s">
        <v>1430</v>
      </c>
      <c r="E703" s="696" t="s">
        <v>22</v>
      </c>
      <c r="F703" s="697">
        <v>30</v>
      </c>
      <c r="G703" s="698">
        <v>1980000</v>
      </c>
      <c r="H703" s="699">
        <f t="shared" si="66"/>
        <v>59400000</v>
      </c>
      <c r="I703" s="691">
        <v>30</v>
      </c>
      <c r="J703" s="692">
        <v>1980000.0000000002</v>
      </c>
      <c r="K703" s="692">
        <f t="shared" si="67"/>
        <v>59400000.000000007</v>
      </c>
      <c r="L703" s="692">
        <f t="shared" si="68"/>
        <v>0</v>
      </c>
      <c r="M703" s="694" t="s">
        <v>1431</v>
      </c>
      <c r="N703" s="694" t="s">
        <v>1432</v>
      </c>
      <c r="O703" s="694" t="s">
        <v>1414</v>
      </c>
      <c r="P703" s="403" t="s">
        <v>1406</v>
      </c>
      <c r="Q703" s="115"/>
      <c r="R703" s="1024"/>
      <c r="S703" s="75"/>
      <c r="T703" s="71"/>
      <c r="U703" s="71"/>
      <c r="V703" s="71"/>
      <c r="W703" s="71"/>
      <c r="X703" s="71"/>
      <c r="Y703" s="71"/>
      <c r="Z703" s="71"/>
      <c r="AA703" s="71"/>
      <c r="AB703" s="71"/>
      <c r="AC703" s="71"/>
    </row>
    <row r="704" spans="1:31" s="73" customFormat="1" ht="36">
      <c r="A704" s="685" t="s">
        <v>1433</v>
      </c>
      <c r="B704" s="685" t="s">
        <v>1434</v>
      </c>
      <c r="C704" s="686" t="s">
        <v>1435</v>
      </c>
      <c r="D704" s="686" t="s">
        <v>118</v>
      </c>
      <c r="E704" s="687" t="s">
        <v>22</v>
      </c>
      <c r="F704" s="688">
        <v>30</v>
      </c>
      <c r="G704" s="689">
        <v>1350000</v>
      </c>
      <c r="H704" s="689">
        <f t="shared" si="66"/>
        <v>40500000</v>
      </c>
      <c r="I704" s="691">
        <v>30</v>
      </c>
      <c r="J704" s="692">
        <v>1375000</v>
      </c>
      <c r="K704" s="692">
        <f t="shared" si="67"/>
        <v>41250000</v>
      </c>
      <c r="L704" s="692">
        <f t="shared" si="68"/>
        <v>25000</v>
      </c>
      <c r="M704" s="693" t="s">
        <v>1431</v>
      </c>
      <c r="N704" s="685"/>
      <c r="O704" s="694" t="s">
        <v>1414</v>
      </c>
      <c r="P704" s="403" t="s">
        <v>1406</v>
      </c>
      <c r="Q704" s="115"/>
      <c r="R704" s="1024"/>
      <c r="S704" s="75"/>
      <c r="T704" s="71"/>
      <c r="U704" s="71"/>
      <c r="V704" s="71"/>
      <c r="W704" s="71"/>
      <c r="X704" s="71"/>
      <c r="Y704" s="71"/>
      <c r="Z704" s="71"/>
      <c r="AA704" s="71"/>
      <c r="AB704" s="71"/>
      <c r="AC704" s="71"/>
    </row>
    <row r="705" spans="1:31" s="73" customFormat="1" ht="28.15" customHeight="1">
      <c r="A705" s="685" t="s">
        <v>1436</v>
      </c>
      <c r="B705" s="685" t="s">
        <v>1437</v>
      </c>
      <c r="C705" s="686" t="s">
        <v>1438</v>
      </c>
      <c r="D705" s="686" t="s">
        <v>141</v>
      </c>
      <c r="E705" s="687" t="s">
        <v>22</v>
      </c>
      <c r="F705" s="688">
        <v>30</v>
      </c>
      <c r="G705" s="689">
        <v>2230000</v>
      </c>
      <c r="H705" s="689">
        <f>G705*F705</f>
        <v>66900000</v>
      </c>
      <c r="I705" s="691">
        <v>30</v>
      </c>
      <c r="J705" s="692">
        <v>2244000</v>
      </c>
      <c r="K705" s="692">
        <f t="shared" si="67"/>
        <v>67320000</v>
      </c>
      <c r="L705" s="692">
        <f t="shared" si="68"/>
        <v>14000</v>
      </c>
      <c r="M705" s="693" t="s">
        <v>1439</v>
      </c>
      <c r="N705" s="685"/>
      <c r="O705" s="694" t="s">
        <v>1405</v>
      </c>
      <c r="P705" s="403" t="s">
        <v>1406</v>
      </c>
      <c r="Q705" s="115"/>
      <c r="R705" s="1024"/>
      <c r="S705" s="75"/>
      <c r="T705" s="71"/>
      <c r="U705" s="71"/>
      <c r="V705" s="71"/>
      <c r="W705" s="71"/>
      <c r="X705" s="71"/>
      <c r="Y705" s="71"/>
      <c r="Z705" s="71"/>
      <c r="AA705" s="71"/>
      <c r="AB705" s="71"/>
      <c r="AC705" s="71"/>
    </row>
    <row r="706" spans="1:31" s="73" customFormat="1" ht="36">
      <c r="A706" s="685" t="s">
        <v>1440</v>
      </c>
      <c r="B706" s="685" t="s">
        <v>1441</v>
      </c>
      <c r="C706" s="700" t="s">
        <v>1442</v>
      </c>
      <c r="D706" s="700" t="s">
        <v>1443</v>
      </c>
      <c r="E706" s="687" t="s">
        <v>47</v>
      </c>
      <c r="F706" s="701">
        <v>20</v>
      </c>
      <c r="G706" s="702">
        <v>575000</v>
      </c>
      <c r="H706" s="702">
        <f>G706*F706</f>
        <v>11500000</v>
      </c>
      <c r="I706" s="691">
        <v>20</v>
      </c>
      <c r="J706" s="692">
        <v>637000</v>
      </c>
      <c r="K706" s="692">
        <f t="shared" si="67"/>
        <v>12740000</v>
      </c>
      <c r="L706" s="692">
        <f t="shared" si="68"/>
        <v>62000</v>
      </c>
      <c r="M706" s="701" t="s">
        <v>1444</v>
      </c>
      <c r="N706" s="685" t="s">
        <v>1445</v>
      </c>
      <c r="O706" s="701">
        <v>3</v>
      </c>
      <c r="P706" s="403" t="s">
        <v>1406</v>
      </c>
      <c r="Q706" s="115"/>
      <c r="R706" s="1024"/>
      <c r="S706" s="75"/>
      <c r="T706" s="71"/>
      <c r="U706" s="71"/>
      <c r="V706" s="71"/>
      <c r="W706" s="71"/>
      <c r="X706" s="71"/>
      <c r="Y706" s="71"/>
      <c r="Z706" s="71"/>
      <c r="AA706" s="71"/>
      <c r="AB706" s="71"/>
      <c r="AC706" s="71"/>
    </row>
    <row r="707" spans="1:31" s="73" customFormat="1" ht="36">
      <c r="A707" s="685" t="s">
        <v>1446</v>
      </c>
      <c r="B707" s="685" t="s">
        <v>1447</v>
      </c>
      <c r="C707" s="700" t="s">
        <v>1448</v>
      </c>
      <c r="D707" s="700" t="s">
        <v>1449</v>
      </c>
      <c r="E707" s="687" t="s">
        <v>47</v>
      </c>
      <c r="F707" s="701">
        <v>20</v>
      </c>
      <c r="G707" s="702">
        <v>575000</v>
      </c>
      <c r="H707" s="702">
        <f>G707*F707</f>
        <v>11500000</v>
      </c>
      <c r="I707" s="691">
        <v>20</v>
      </c>
      <c r="J707" s="692">
        <v>637000</v>
      </c>
      <c r="K707" s="692">
        <f t="shared" si="67"/>
        <v>12740000</v>
      </c>
      <c r="L707" s="692">
        <f t="shared" si="68"/>
        <v>62000</v>
      </c>
      <c r="M707" s="693" t="s">
        <v>1450</v>
      </c>
      <c r="N707" s="685" t="s">
        <v>1451</v>
      </c>
      <c r="O707" s="701">
        <v>3</v>
      </c>
      <c r="P707" s="403" t="s">
        <v>1406</v>
      </c>
      <c r="Q707" s="115"/>
      <c r="R707" s="1024"/>
      <c r="S707" s="75"/>
      <c r="T707" s="71"/>
      <c r="U707" s="71"/>
      <c r="V707" s="71"/>
      <c r="W707" s="71"/>
      <c r="X707" s="71"/>
      <c r="Y707" s="71"/>
      <c r="Z707" s="71"/>
      <c r="AA707" s="71"/>
      <c r="AB707" s="71"/>
      <c r="AC707" s="71"/>
    </row>
    <row r="708" spans="1:31" s="73" customFormat="1" ht="36">
      <c r="A708" s="685" t="s">
        <v>1452</v>
      </c>
      <c r="B708" s="685" t="s">
        <v>1402</v>
      </c>
      <c r="C708" s="701" t="s">
        <v>1453</v>
      </c>
      <c r="D708" s="701" t="s">
        <v>1424</v>
      </c>
      <c r="E708" s="687" t="s">
        <v>47</v>
      </c>
      <c r="F708" s="688">
        <v>20</v>
      </c>
      <c r="G708" s="689">
        <v>2500000</v>
      </c>
      <c r="H708" s="702">
        <f t="shared" ref="H708:H713" si="69">G708*F708</f>
        <v>50000000</v>
      </c>
      <c r="I708" s="691">
        <v>20</v>
      </c>
      <c r="J708" s="692">
        <v>2693000</v>
      </c>
      <c r="K708" s="692">
        <f t="shared" si="67"/>
        <v>53860000</v>
      </c>
      <c r="L708" s="692">
        <f t="shared" si="68"/>
        <v>193000</v>
      </c>
      <c r="M708" s="693" t="s">
        <v>1454</v>
      </c>
      <c r="N708" s="685" t="s">
        <v>1455</v>
      </c>
      <c r="O708" s="701">
        <v>3</v>
      </c>
      <c r="P708" s="403" t="s">
        <v>1406</v>
      </c>
      <c r="Q708" s="115"/>
      <c r="R708" s="1024"/>
      <c r="S708" s="75"/>
      <c r="T708" s="71"/>
      <c r="U708" s="71"/>
      <c r="V708" s="71"/>
      <c r="W708" s="71"/>
      <c r="X708" s="71"/>
      <c r="Y708" s="71"/>
      <c r="Z708" s="71"/>
      <c r="AA708" s="71"/>
      <c r="AB708" s="71"/>
      <c r="AC708" s="71"/>
    </row>
    <row r="709" spans="1:31" s="73" customFormat="1" ht="36">
      <c r="A709" s="685" t="s">
        <v>1456</v>
      </c>
      <c r="B709" s="685" t="s">
        <v>1457</v>
      </c>
      <c r="C709" s="703" t="s">
        <v>1458</v>
      </c>
      <c r="D709" s="703" t="s">
        <v>1424</v>
      </c>
      <c r="E709" s="687" t="s">
        <v>47</v>
      </c>
      <c r="F709" s="688">
        <v>20</v>
      </c>
      <c r="G709" s="689">
        <v>2600000</v>
      </c>
      <c r="H709" s="702">
        <f t="shared" si="69"/>
        <v>52000000</v>
      </c>
      <c r="I709" s="691">
        <v>20</v>
      </c>
      <c r="J709" s="692">
        <v>2659000</v>
      </c>
      <c r="K709" s="692">
        <f t="shared" si="67"/>
        <v>53180000</v>
      </c>
      <c r="L709" s="692">
        <f t="shared" si="68"/>
        <v>59000</v>
      </c>
      <c r="M709" s="693" t="s">
        <v>1459</v>
      </c>
      <c r="N709" s="685" t="s">
        <v>1460</v>
      </c>
      <c r="O709" s="701">
        <v>3</v>
      </c>
      <c r="P709" s="403" t="s">
        <v>1406</v>
      </c>
      <c r="Q709" s="115"/>
      <c r="R709" s="1024"/>
      <c r="S709" s="75"/>
      <c r="T709" s="71"/>
      <c r="U709" s="71"/>
      <c r="V709" s="71"/>
      <c r="W709" s="71"/>
      <c r="X709" s="71"/>
      <c r="Y709" s="71"/>
      <c r="Z709" s="71"/>
      <c r="AA709" s="71"/>
      <c r="AB709" s="71"/>
      <c r="AC709" s="71"/>
    </row>
    <row r="710" spans="1:31" s="73" customFormat="1" ht="27">
      <c r="A710" s="685" t="s">
        <v>1461</v>
      </c>
      <c r="B710" s="685" t="s">
        <v>1462</v>
      </c>
      <c r="C710" s="700" t="s">
        <v>1463</v>
      </c>
      <c r="D710" s="700" t="s">
        <v>1424</v>
      </c>
      <c r="E710" s="687" t="s">
        <v>47</v>
      </c>
      <c r="F710" s="688">
        <v>100</v>
      </c>
      <c r="G710" s="689">
        <v>8900000</v>
      </c>
      <c r="H710" s="702">
        <f t="shared" si="69"/>
        <v>890000000</v>
      </c>
      <c r="I710" s="691">
        <v>100</v>
      </c>
      <c r="J710" s="692">
        <v>9986000</v>
      </c>
      <c r="K710" s="692">
        <f t="shared" si="67"/>
        <v>998600000</v>
      </c>
      <c r="L710" s="692">
        <f t="shared" si="68"/>
        <v>1086000</v>
      </c>
      <c r="M710" s="693" t="s">
        <v>1464</v>
      </c>
      <c r="N710" s="685" t="s">
        <v>1465</v>
      </c>
      <c r="O710" s="701">
        <v>3</v>
      </c>
      <c r="P710" s="403" t="s">
        <v>1406</v>
      </c>
      <c r="Q710" s="115"/>
      <c r="R710" s="1024"/>
      <c r="S710" s="75"/>
      <c r="T710" s="71"/>
      <c r="U710" s="71"/>
      <c r="V710" s="71"/>
      <c r="W710" s="71"/>
      <c r="X710" s="71"/>
      <c r="Y710" s="71"/>
      <c r="Z710" s="71"/>
      <c r="AA710" s="71"/>
      <c r="AB710" s="71"/>
      <c r="AC710" s="71"/>
    </row>
    <row r="711" spans="1:31" s="73" customFormat="1" ht="36">
      <c r="A711" s="685" t="s">
        <v>1466</v>
      </c>
      <c r="B711" s="685" t="s">
        <v>1467</v>
      </c>
      <c r="C711" s="700" t="s">
        <v>1468</v>
      </c>
      <c r="D711" s="700" t="s">
        <v>1424</v>
      </c>
      <c r="E711" s="687" t="s">
        <v>47</v>
      </c>
      <c r="F711" s="688">
        <v>70</v>
      </c>
      <c r="G711" s="689">
        <v>8900000</v>
      </c>
      <c r="H711" s="702">
        <f t="shared" si="69"/>
        <v>623000000</v>
      </c>
      <c r="I711" s="691">
        <v>70</v>
      </c>
      <c r="J711" s="692">
        <v>9986000</v>
      </c>
      <c r="K711" s="692">
        <f t="shared" si="67"/>
        <v>699020000</v>
      </c>
      <c r="L711" s="692">
        <f t="shared" si="68"/>
        <v>1086000</v>
      </c>
      <c r="M711" s="693" t="s">
        <v>1464</v>
      </c>
      <c r="N711" s="685" t="s">
        <v>1469</v>
      </c>
      <c r="O711" s="701">
        <v>3</v>
      </c>
      <c r="P711" s="403" t="s">
        <v>1406</v>
      </c>
      <c r="Q711" s="115"/>
      <c r="R711" s="1024"/>
      <c r="S711" s="75"/>
      <c r="T711" s="71"/>
      <c r="U711" s="71"/>
      <c r="V711" s="71"/>
      <c r="W711" s="71"/>
      <c r="X711" s="71"/>
      <c r="Y711" s="71"/>
      <c r="Z711" s="71"/>
      <c r="AA711" s="71"/>
      <c r="AB711" s="71"/>
      <c r="AC711" s="71"/>
    </row>
    <row r="712" spans="1:31" s="73" customFormat="1" ht="39" customHeight="1">
      <c r="A712" s="685" t="s">
        <v>1470</v>
      </c>
      <c r="B712" s="685" t="s">
        <v>1471</v>
      </c>
      <c r="C712" s="686" t="s">
        <v>1472</v>
      </c>
      <c r="D712" s="686" t="s">
        <v>1349</v>
      </c>
      <c r="E712" s="704" t="s">
        <v>47</v>
      </c>
      <c r="F712" s="701">
        <v>4</v>
      </c>
      <c r="G712" s="702">
        <v>5400000</v>
      </c>
      <c r="H712" s="702">
        <f t="shared" si="69"/>
        <v>21600000</v>
      </c>
      <c r="I712" s="691">
        <v>4</v>
      </c>
      <c r="J712" s="692">
        <v>5500000</v>
      </c>
      <c r="K712" s="692">
        <f t="shared" si="67"/>
        <v>22000000</v>
      </c>
      <c r="L712" s="692">
        <f t="shared" si="68"/>
        <v>100000</v>
      </c>
      <c r="M712" s="701" t="s">
        <v>1473</v>
      </c>
      <c r="N712" s="289" t="s">
        <v>1474</v>
      </c>
      <c r="O712" s="701" t="s">
        <v>1405</v>
      </c>
      <c r="P712" s="403" t="s">
        <v>1406</v>
      </c>
      <c r="Q712" s="115"/>
      <c r="R712" s="1024"/>
      <c r="S712" s="75"/>
      <c r="T712" s="71"/>
      <c r="U712" s="71"/>
      <c r="V712" s="71"/>
      <c r="W712" s="71"/>
      <c r="X712" s="71"/>
      <c r="Y712" s="71"/>
      <c r="Z712" s="71"/>
      <c r="AA712" s="71"/>
      <c r="AB712" s="71"/>
      <c r="AC712" s="71"/>
    </row>
    <row r="713" spans="1:31" s="73" customFormat="1" ht="25.9" customHeight="1">
      <c r="A713" s="705" t="s">
        <v>1475</v>
      </c>
      <c r="B713" s="705" t="s">
        <v>1476</v>
      </c>
      <c r="C713" s="706" t="s">
        <v>1477</v>
      </c>
      <c r="D713" s="706" t="s">
        <v>1478</v>
      </c>
      <c r="E713" s="707" t="s">
        <v>424</v>
      </c>
      <c r="F713" s="708">
        <v>12</v>
      </c>
      <c r="G713" s="709">
        <v>3500000</v>
      </c>
      <c r="H713" s="709">
        <f t="shared" si="69"/>
        <v>42000000</v>
      </c>
      <c r="I713" s="710">
        <v>12</v>
      </c>
      <c r="J713" s="711">
        <v>3850000</v>
      </c>
      <c r="K713" s="711">
        <f t="shared" si="67"/>
        <v>46200000</v>
      </c>
      <c r="L713" s="711">
        <f t="shared" si="68"/>
        <v>350000</v>
      </c>
      <c r="M713" s="708" t="s">
        <v>1473</v>
      </c>
      <c r="N713" s="712" t="s">
        <v>1479</v>
      </c>
      <c r="O713" s="708" t="s">
        <v>1405</v>
      </c>
      <c r="P713" s="420" t="s">
        <v>1406</v>
      </c>
      <c r="Q713" s="115"/>
      <c r="R713" s="1024"/>
      <c r="S713" s="75"/>
      <c r="T713" s="71"/>
      <c r="U713" s="71"/>
      <c r="V713" s="71"/>
      <c r="W713" s="71"/>
      <c r="X713" s="71"/>
      <c r="Y713" s="71"/>
      <c r="Z713" s="71"/>
      <c r="AA713" s="71"/>
      <c r="AB713" s="71"/>
      <c r="AC713" s="71"/>
    </row>
    <row r="714" spans="1:31" s="73" customFormat="1">
      <c r="A714" s="713"/>
      <c r="B714" s="713"/>
      <c r="C714" s="2143" t="s">
        <v>1480</v>
      </c>
      <c r="D714" s="2143"/>
      <c r="E714" s="2143"/>
      <c r="F714" s="2143"/>
      <c r="G714" s="2143"/>
      <c r="H714" s="2300">
        <f>SUM(H699:H713)</f>
        <v>2245350000</v>
      </c>
      <c r="I714" s="715"/>
      <c r="J714" s="17"/>
      <c r="K714" s="714">
        <f>SUM(K699:K713)</f>
        <v>2467524000</v>
      </c>
      <c r="L714" s="248"/>
      <c r="M714" s="247"/>
      <c r="N714" s="247"/>
      <c r="O714" s="247"/>
      <c r="P714" s="142"/>
      <c r="Q714" s="115"/>
      <c r="R714" s="1024"/>
      <c r="S714" s="75"/>
      <c r="T714" s="71"/>
      <c r="U714" s="71"/>
      <c r="V714" s="71"/>
      <c r="W714" s="71"/>
      <c r="X714" s="71"/>
      <c r="Y714" s="71"/>
      <c r="Z714" s="71"/>
      <c r="AA714" s="71"/>
      <c r="AB714" s="71"/>
      <c r="AC714" s="71"/>
    </row>
    <row r="715" spans="1:31" s="73" customFormat="1">
      <c r="A715" s="716"/>
      <c r="B715" s="716"/>
      <c r="C715" s="2144" t="s">
        <v>1481</v>
      </c>
      <c r="D715" s="2144"/>
      <c r="E715" s="2144"/>
      <c r="F715" s="2144"/>
      <c r="G715" s="2144"/>
      <c r="H715" s="2144"/>
      <c r="I715" s="2144"/>
      <c r="J715" s="717"/>
      <c r="K715" s="718"/>
      <c r="M715" s="71"/>
      <c r="N715" s="71"/>
      <c r="O715" s="71"/>
      <c r="P715" s="74"/>
      <c r="Q715" s="74"/>
      <c r="R715" s="1024"/>
      <c r="S715" s="75"/>
      <c r="T715" s="71"/>
      <c r="U715" s="71"/>
      <c r="V715" s="71"/>
      <c r="W715" s="71"/>
      <c r="X715" s="71"/>
      <c r="Y715" s="71"/>
      <c r="Z715" s="71"/>
      <c r="AA715" s="71"/>
      <c r="AB715" s="71"/>
      <c r="AC715" s="71"/>
    </row>
    <row r="717" spans="1:31" s="73" customFormat="1">
      <c r="A717" s="71" t="s">
        <v>1482</v>
      </c>
      <c r="B717" s="71"/>
      <c r="C717" s="72"/>
      <c r="D717" s="71"/>
      <c r="E717" s="71"/>
      <c r="M717" s="71"/>
      <c r="N717" s="71"/>
      <c r="O717" s="71"/>
      <c r="P717" s="74"/>
      <c r="Q717" s="74"/>
      <c r="R717" s="1024"/>
      <c r="S717" s="75"/>
      <c r="T717" s="71"/>
      <c r="U717" s="71"/>
      <c r="V717" s="71"/>
      <c r="W717" s="71"/>
      <c r="X717" s="71"/>
      <c r="Y717" s="71"/>
      <c r="Z717" s="71"/>
      <c r="AA717" s="71"/>
      <c r="AB717" s="71"/>
      <c r="AC717" s="71"/>
    </row>
    <row r="718" spans="1:31" s="12" customFormat="1" ht="15.6" customHeight="1">
      <c r="A718" s="2092" t="s">
        <v>5</v>
      </c>
      <c r="B718" s="2092" t="s">
        <v>6</v>
      </c>
      <c r="C718" s="2094" t="s">
        <v>7</v>
      </c>
      <c r="D718" s="2096" t="s">
        <v>8</v>
      </c>
      <c r="E718" s="2092" t="s">
        <v>9</v>
      </c>
      <c r="F718" s="2098" t="s">
        <v>10</v>
      </c>
      <c r="G718" s="2098"/>
      <c r="H718" s="2098"/>
      <c r="I718" s="2098" t="s">
        <v>11</v>
      </c>
      <c r="J718" s="2098"/>
      <c r="K718" s="2098"/>
      <c r="L718" s="2099" t="s">
        <v>12</v>
      </c>
      <c r="M718" s="9"/>
      <c r="N718" s="9"/>
      <c r="O718" s="9"/>
      <c r="P718" s="2101" t="s">
        <v>13</v>
      </c>
      <c r="Q718" s="2265" t="s">
        <v>4740</v>
      </c>
      <c r="R718" s="2319" t="s">
        <v>4754</v>
      </c>
      <c r="S718" s="2267" t="s">
        <v>4767</v>
      </c>
      <c r="T718" s="2268"/>
      <c r="U718" s="2268"/>
      <c r="V718" s="2268"/>
      <c r="W718" s="2269"/>
      <c r="X718" s="2267" t="s">
        <v>4768</v>
      </c>
      <c r="Y718" s="2268"/>
      <c r="Z718" s="2268"/>
      <c r="AA718" s="2268"/>
      <c r="AB718" s="2268"/>
      <c r="AC718" s="2268"/>
      <c r="AD718" s="2268"/>
      <c r="AE718" s="2269"/>
    </row>
    <row r="719" spans="1:31" s="16" customFormat="1" ht="47.45" customHeight="1">
      <c r="A719" s="2093"/>
      <c r="B719" s="2093"/>
      <c r="C719" s="2095"/>
      <c r="D719" s="2097"/>
      <c r="E719" s="2093"/>
      <c r="F719" s="13" t="s">
        <v>14</v>
      </c>
      <c r="G719" s="13" t="s">
        <v>15</v>
      </c>
      <c r="H719" s="13" t="s">
        <v>16</v>
      </c>
      <c r="I719" s="13" t="s">
        <v>14</v>
      </c>
      <c r="J719" s="13" t="s">
        <v>15</v>
      </c>
      <c r="K719" s="13" t="s">
        <v>16</v>
      </c>
      <c r="L719" s="2100"/>
      <c r="M719" s="14" t="s">
        <v>17</v>
      </c>
      <c r="N719" s="14" t="s">
        <v>18</v>
      </c>
      <c r="O719" s="14" t="s">
        <v>19</v>
      </c>
      <c r="P719" s="2102"/>
      <c r="Q719" s="2266"/>
      <c r="R719" s="2320"/>
      <c r="S719" s="2263" t="s">
        <v>4755</v>
      </c>
      <c r="T719" s="2263" t="s">
        <v>4756</v>
      </c>
      <c r="U719" s="2263" t="s">
        <v>4757</v>
      </c>
      <c r="V719" s="2263" t="s">
        <v>4758</v>
      </c>
      <c r="W719" s="2263" t="s">
        <v>4759</v>
      </c>
      <c r="X719" s="2264" t="s">
        <v>4760</v>
      </c>
      <c r="Y719" s="2264" t="s">
        <v>4761</v>
      </c>
      <c r="Z719" s="2264" t="s">
        <v>4762</v>
      </c>
      <c r="AA719" s="2264" t="s">
        <v>4763</v>
      </c>
      <c r="AB719" s="2264" t="s">
        <v>4764</v>
      </c>
      <c r="AC719" s="2264" t="s">
        <v>4765</v>
      </c>
      <c r="AD719" s="2264" t="s">
        <v>4766</v>
      </c>
      <c r="AE719" s="2264" t="s">
        <v>4755</v>
      </c>
    </row>
    <row r="720" spans="1:31" s="70" customFormat="1">
      <c r="A720" s="331">
        <v>1</v>
      </c>
      <c r="B720" s="331">
        <v>2</v>
      </c>
      <c r="C720" s="63">
        <v>3</v>
      </c>
      <c r="D720" s="331">
        <v>4</v>
      </c>
      <c r="E720" s="331">
        <v>5</v>
      </c>
      <c r="F720" s="57">
        <v>6</v>
      </c>
      <c r="G720" s="57">
        <v>7</v>
      </c>
      <c r="H720" s="331">
        <v>8</v>
      </c>
      <c r="I720" s="331">
        <v>9</v>
      </c>
      <c r="J720" s="331">
        <v>10</v>
      </c>
      <c r="K720" s="331">
        <v>11</v>
      </c>
      <c r="L720" s="331">
        <v>12</v>
      </c>
      <c r="M720" s="331">
        <v>9</v>
      </c>
      <c r="N720" s="331">
        <v>10</v>
      </c>
      <c r="O720" s="331">
        <v>11</v>
      </c>
      <c r="P720" s="331">
        <v>13</v>
      </c>
      <c r="Q720" s="332"/>
      <c r="R720" s="2321"/>
      <c r="S720" s="485"/>
    </row>
    <row r="721" spans="1:29" ht="18">
      <c r="A721" s="719">
        <v>528</v>
      </c>
      <c r="B721" s="719">
        <v>1</v>
      </c>
      <c r="C721" s="720" t="s">
        <v>1483</v>
      </c>
      <c r="D721" s="719" t="s">
        <v>539</v>
      </c>
      <c r="E721" s="719" t="s">
        <v>1484</v>
      </c>
      <c r="F721" s="719">
        <v>10</v>
      </c>
      <c r="G721" s="721">
        <v>398000</v>
      </c>
      <c r="H721" s="722">
        <f>G721*F721</f>
        <v>3980000</v>
      </c>
      <c r="I721" s="723">
        <v>10</v>
      </c>
      <c r="J721" s="724">
        <v>424200</v>
      </c>
      <c r="K721" s="682">
        <f t="shared" ref="K721:K744" si="70">I721*J721</f>
        <v>4242000</v>
      </c>
      <c r="L721" s="682">
        <f t="shared" ref="L721:L744" si="71">J721-G721</f>
        <v>26200</v>
      </c>
      <c r="M721" s="722" t="s">
        <v>1485</v>
      </c>
      <c r="N721" s="722" t="s">
        <v>1486</v>
      </c>
      <c r="O721" s="722">
        <v>1</v>
      </c>
      <c r="P721" s="725" t="s">
        <v>1487</v>
      </c>
      <c r="Q721" s="726"/>
    </row>
    <row r="722" spans="1:29" ht="18">
      <c r="A722" s="727">
        <v>529</v>
      </c>
      <c r="B722" s="727">
        <v>2</v>
      </c>
      <c r="C722" s="728" t="s">
        <v>1488</v>
      </c>
      <c r="D722" s="727" t="s">
        <v>539</v>
      </c>
      <c r="E722" s="727" t="s">
        <v>1484</v>
      </c>
      <c r="F722" s="727">
        <v>10</v>
      </c>
      <c r="G722" s="702">
        <v>2265000</v>
      </c>
      <c r="H722" s="729">
        <f t="shared" ref="H722:H744" si="72">G722*F722</f>
        <v>22650000</v>
      </c>
      <c r="I722" s="730">
        <v>10</v>
      </c>
      <c r="J722" s="731">
        <v>2399760</v>
      </c>
      <c r="K722" s="692">
        <f t="shared" si="70"/>
        <v>23997600</v>
      </c>
      <c r="L722" s="692">
        <f t="shared" si="71"/>
        <v>134760</v>
      </c>
      <c r="M722" s="729" t="s">
        <v>1489</v>
      </c>
      <c r="N722" s="729" t="s">
        <v>1490</v>
      </c>
      <c r="O722" s="729">
        <v>1</v>
      </c>
      <c r="P722" s="732" t="s">
        <v>1487</v>
      </c>
      <c r="Q722" s="726"/>
    </row>
    <row r="723" spans="1:29" ht="18">
      <c r="A723" s="727">
        <v>530</v>
      </c>
      <c r="B723" s="727">
        <v>3</v>
      </c>
      <c r="C723" s="728" t="s">
        <v>1491</v>
      </c>
      <c r="D723" s="727" t="s">
        <v>539</v>
      </c>
      <c r="E723" s="727" t="s">
        <v>1484</v>
      </c>
      <c r="F723" s="727">
        <v>10</v>
      </c>
      <c r="G723" s="729">
        <v>925000</v>
      </c>
      <c r="H723" s="729">
        <f t="shared" si="72"/>
        <v>9250000</v>
      </c>
      <c r="I723" s="730">
        <v>10</v>
      </c>
      <c r="J723" s="731">
        <v>954450</v>
      </c>
      <c r="K723" s="692">
        <f t="shared" si="70"/>
        <v>9544500</v>
      </c>
      <c r="L723" s="692">
        <f t="shared" si="71"/>
        <v>29450</v>
      </c>
      <c r="M723" s="729" t="s">
        <v>1489</v>
      </c>
      <c r="N723" s="729" t="s">
        <v>1492</v>
      </c>
      <c r="O723" s="729">
        <v>1</v>
      </c>
      <c r="P723" s="732" t="s">
        <v>1487</v>
      </c>
      <c r="Q723" s="726"/>
    </row>
    <row r="724" spans="1:29" ht="18">
      <c r="A724" s="727">
        <v>531</v>
      </c>
      <c r="B724" s="727">
        <v>4</v>
      </c>
      <c r="C724" s="728" t="s">
        <v>1493</v>
      </c>
      <c r="D724" s="727" t="s">
        <v>539</v>
      </c>
      <c r="E724" s="727" t="s">
        <v>1484</v>
      </c>
      <c r="F724" s="727">
        <v>10</v>
      </c>
      <c r="G724" s="729">
        <v>925000</v>
      </c>
      <c r="H724" s="729">
        <f t="shared" si="72"/>
        <v>9250000</v>
      </c>
      <c r="I724" s="730">
        <v>10</v>
      </c>
      <c r="J724" s="731">
        <v>954450</v>
      </c>
      <c r="K724" s="692">
        <f t="shared" si="70"/>
        <v>9544500</v>
      </c>
      <c r="L724" s="692">
        <f t="shared" si="71"/>
        <v>29450</v>
      </c>
      <c r="M724" s="729" t="s">
        <v>1489</v>
      </c>
      <c r="N724" s="729" t="s">
        <v>1494</v>
      </c>
      <c r="O724" s="729">
        <v>1</v>
      </c>
      <c r="P724" s="732" t="s">
        <v>1487</v>
      </c>
      <c r="Q724" s="726"/>
    </row>
    <row r="725" spans="1:29" ht="18">
      <c r="A725" s="727">
        <v>532</v>
      </c>
      <c r="B725" s="727">
        <v>5</v>
      </c>
      <c r="C725" s="728" t="s">
        <v>1495</v>
      </c>
      <c r="D725" s="727" t="s">
        <v>539</v>
      </c>
      <c r="E725" s="727" t="s">
        <v>1484</v>
      </c>
      <c r="F725" s="727">
        <v>10</v>
      </c>
      <c r="G725" s="729">
        <v>925000</v>
      </c>
      <c r="H725" s="729">
        <f t="shared" si="72"/>
        <v>9250000</v>
      </c>
      <c r="I725" s="730">
        <v>10</v>
      </c>
      <c r="J725" s="731">
        <v>954450</v>
      </c>
      <c r="K725" s="692">
        <f t="shared" si="70"/>
        <v>9544500</v>
      </c>
      <c r="L725" s="692">
        <f t="shared" si="71"/>
        <v>29450</v>
      </c>
      <c r="M725" s="729" t="s">
        <v>1489</v>
      </c>
      <c r="N725" s="729" t="s">
        <v>1496</v>
      </c>
      <c r="O725" s="729">
        <v>1</v>
      </c>
      <c r="P725" s="732" t="s">
        <v>1487</v>
      </c>
      <c r="Q725" s="726"/>
    </row>
    <row r="726" spans="1:29" ht="18">
      <c r="A726" s="727">
        <v>533</v>
      </c>
      <c r="B726" s="727">
        <v>6</v>
      </c>
      <c r="C726" s="728" t="s">
        <v>1497</v>
      </c>
      <c r="D726" s="727" t="s">
        <v>539</v>
      </c>
      <c r="E726" s="727" t="s">
        <v>1484</v>
      </c>
      <c r="F726" s="727">
        <v>30</v>
      </c>
      <c r="G726" s="729">
        <v>825000</v>
      </c>
      <c r="H726" s="729">
        <f t="shared" si="72"/>
        <v>24750000</v>
      </c>
      <c r="I726" s="730">
        <v>30</v>
      </c>
      <c r="J726" s="731">
        <v>848400</v>
      </c>
      <c r="K726" s="692">
        <f t="shared" si="70"/>
        <v>25452000</v>
      </c>
      <c r="L726" s="692">
        <f t="shared" si="71"/>
        <v>23400</v>
      </c>
      <c r="M726" s="729" t="s">
        <v>1489</v>
      </c>
      <c r="N726" s="729" t="s">
        <v>1498</v>
      </c>
      <c r="O726" s="729">
        <v>1</v>
      </c>
      <c r="P726" s="732" t="s">
        <v>1487</v>
      </c>
      <c r="Q726" s="726"/>
    </row>
    <row r="727" spans="1:29" ht="18">
      <c r="A727" s="727">
        <v>534</v>
      </c>
      <c r="B727" s="727">
        <v>7</v>
      </c>
      <c r="C727" s="728" t="s">
        <v>1499</v>
      </c>
      <c r="D727" s="727" t="s">
        <v>539</v>
      </c>
      <c r="E727" s="727" t="s">
        <v>1484</v>
      </c>
      <c r="F727" s="727">
        <v>25</v>
      </c>
      <c r="G727" s="729">
        <v>1750000</v>
      </c>
      <c r="H727" s="729">
        <f t="shared" si="72"/>
        <v>43750000</v>
      </c>
      <c r="I727" s="730">
        <v>25</v>
      </c>
      <c r="J727" s="731">
        <v>1999800</v>
      </c>
      <c r="K727" s="692">
        <f t="shared" si="70"/>
        <v>49995000</v>
      </c>
      <c r="L727" s="692">
        <f t="shared" si="71"/>
        <v>249800</v>
      </c>
      <c r="M727" s="729" t="s">
        <v>1489</v>
      </c>
      <c r="N727" s="729" t="s">
        <v>1500</v>
      </c>
      <c r="O727" s="729">
        <v>1</v>
      </c>
      <c r="P727" s="732" t="s">
        <v>1487</v>
      </c>
      <c r="Q727" s="726"/>
    </row>
    <row r="728" spans="1:29" ht="18">
      <c r="A728" s="727">
        <v>535</v>
      </c>
      <c r="B728" s="727">
        <v>8</v>
      </c>
      <c r="C728" s="728" t="s">
        <v>1501</v>
      </c>
      <c r="D728" s="727" t="s">
        <v>539</v>
      </c>
      <c r="E728" s="727" t="s">
        <v>1484</v>
      </c>
      <c r="F728" s="727">
        <v>10</v>
      </c>
      <c r="G728" s="729">
        <v>1868000</v>
      </c>
      <c r="H728" s="729">
        <f t="shared" si="72"/>
        <v>18680000</v>
      </c>
      <c r="I728" s="730">
        <v>10</v>
      </c>
      <c r="J728" s="731">
        <v>1999800</v>
      </c>
      <c r="K728" s="692">
        <f t="shared" si="70"/>
        <v>19998000</v>
      </c>
      <c r="L728" s="692">
        <f t="shared" si="71"/>
        <v>131800</v>
      </c>
      <c r="M728" s="729" t="s">
        <v>1502</v>
      </c>
      <c r="N728" s="729" t="s">
        <v>1503</v>
      </c>
      <c r="O728" s="729">
        <v>1</v>
      </c>
      <c r="P728" s="732" t="s">
        <v>1487</v>
      </c>
      <c r="Q728" s="726"/>
    </row>
    <row r="729" spans="1:29" ht="18">
      <c r="A729" s="727">
        <v>536</v>
      </c>
      <c r="B729" s="727">
        <v>9</v>
      </c>
      <c r="C729" s="728" t="s">
        <v>1504</v>
      </c>
      <c r="D729" s="727" t="s">
        <v>539</v>
      </c>
      <c r="E729" s="727" t="s">
        <v>1484</v>
      </c>
      <c r="F729" s="727">
        <v>10</v>
      </c>
      <c r="G729" s="729">
        <v>1866000</v>
      </c>
      <c r="H729" s="729">
        <f t="shared" si="72"/>
        <v>18660000</v>
      </c>
      <c r="I729" s="730">
        <v>10</v>
      </c>
      <c r="J729" s="731">
        <v>1999800</v>
      </c>
      <c r="K729" s="692">
        <f t="shared" si="70"/>
        <v>19998000</v>
      </c>
      <c r="L729" s="692">
        <f t="shared" si="71"/>
        <v>133800</v>
      </c>
      <c r="M729" s="729" t="s">
        <v>1502</v>
      </c>
      <c r="N729" s="729" t="s">
        <v>1505</v>
      </c>
      <c r="O729" s="729">
        <v>1</v>
      </c>
      <c r="P729" s="732" t="s">
        <v>1487</v>
      </c>
      <c r="Q729" s="726"/>
    </row>
    <row r="730" spans="1:29" ht="18">
      <c r="A730" s="727">
        <v>537</v>
      </c>
      <c r="B730" s="727">
        <v>10</v>
      </c>
      <c r="C730" s="728" t="s">
        <v>1506</v>
      </c>
      <c r="D730" s="727" t="s">
        <v>539</v>
      </c>
      <c r="E730" s="727" t="s">
        <v>1484</v>
      </c>
      <c r="F730" s="727">
        <v>80</v>
      </c>
      <c r="G730" s="729">
        <v>945000</v>
      </c>
      <c r="H730" s="729">
        <f t="shared" si="72"/>
        <v>75600000</v>
      </c>
      <c r="I730" s="730">
        <v>80</v>
      </c>
      <c r="J730" s="731">
        <v>954450</v>
      </c>
      <c r="K730" s="692">
        <f t="shared" si="70"/>
        <v>76356000</v>
      </c>
      <c r="L730" s="692">
        <f t="shared" si="71"/>
        <v>9450</v>
      </c>
      <c r="M730" s="729" t="s">
        <v>1489</v>
      </c>
      <c r="N730" s="729" t="s">
        <v>1507</v>
      </c>
      <c r="O730" s="729">
        <v>1</v>
      </c>
      <c r="P730" s="732" t="s">
        <v>1487</v>
      </c>
      <c r="Q730" s="726"/>
    </row>
    <row r="731" spans="1:29" ht="18">
      <c r="A731" s="727">
        <v>538</v>
      </c>
      <c r="B731" s="727">
        <v>11</v>
      </c>
      <c r="C731" s="728" t="s">
        <v>1508</v>
      </c>
      <c r="D731" s="727" t="s">
        <v>539</v>
      </c>
      <c r="E731" s="727" t="s">
        <v>1484</v>
      </c>
      <c r="F731" s="727">
        <v>5</v>
      </c>
      <c r="G731" s="729">
        <v>945000</v>
      </c>
      <c r="H731" s="729">
        <f t="shared" si="72"/>
        <v>4725000</v>
      </c>
      <c r="I731" s="730">
        <v>5</v>
      </c>
      <c r="J731" s="731">
        <v>954450</v>
      </c>
      <c r="K731" s="692">
        <f t="shared" si="70"/>
        <v>4772250</v>
      </c>
      <c r="L731" s="692">
        <f t="shared" si="71"/>
        <v>9450</v>
      </c>
      <c r="M731" s="729" t="s">
        <v>1489</v>
      </c>
      <c r="N731" s="729" t="s">
        <v>1509</v>
      </c>
      <c r="O731" s="729">
        <v>1</v>
      </c>
      <c r="P731" s="732" t="s">
        <v>1487</v>
      </c>
      <c r="Q731" s="726"/>
    </row>
    <row r="732" spans="1:29" ht="18">
      <c r="A732" s="727">
        <v>539</v>
      </c>
      <c r="B732" s="727">
        <v>12</v>
      </c>
      <c r="C732" s="728" t="s">
        <v>1510</v>
      </c>
      <c r="D732" s="727" t="s">
        <v>539</v>
      </c>
      <c r="E732" s="727" t="s">
        <v>1484</v>
      </c>
      <c r="F732" s="727">
        <v>10</v>
      </c>
      <c r="G732" s="729">
        <v>615000</v>
      </c>
      <c r="H732" s="729">
        <f t="shared" si="72"/>
        <v>6150000</v>
      </c>
      <c r="I732" s="730">
        <v>10</v>
      </c>
      <c r="J732" s="731">
        <v>636300</v>
      </c>
      <c r="K732" s="692">
        <f t="shared" si="70"/>
        <v>6363000</v>
      </c>
      <c r="L732" s="692">
        <f t="shared" si="71"/>
        <v>21300</v>
      </c>
      <c r="M732" s="729" t="s">
        <v>1511</v>
      </c>
      <c r="N732" s="729" t="s">
        <v>1512</v>
      </c>
      <c r="O732" s="729">
        <v>1</v>
      </c>
      <c r="P732" s="732" t="s">
        <v>1487</v>
      </c>
      <c r="Q732" s="726"/>
    </row>
    <row r="733" spans="1:29" ht="18">
      <c r="A733" s="727">
        <v>540</v>
      </c>
      <c r="B733" s="727">
        <v>13</v>
      </c>
      <c r="C733" s="728" t="s">
        <v>1513</v>
      </c>
      <c r="D733" s="727" t="s">
        <v>539</v>
      </c>
      <c r="E733" s="727" t="s">
        <v>1484</v>
      </c>
      <c r="F733" s="727">
        <v>5</v>
      </c>
      <c r="G733" s="729">
        <v>568000</v>
      </c>
      <c r="H733" s="729">
        <f t="shared" si="72"/>
        <v>2840000</v>
      </c>
      <c r="I733" s="730">
        <v>5</v>
      </c>
      <c r="J733" s="731">
        <v>636300</v>
      </c>
      <c r="K733" s="692">
        <f t="shared" si="70"/>
        <v>3181500</v>
      </c>
      <c r="L733" s="692">
        <f t="shared" si="71"/>
        <v>68300</v>
      </c>
      <c r="M733" s="727" t="s">
        <v>1514</v>
      </c>
      <c r="N733" s="729" t="s">
        <v>1496</v>
      </c>
      <c r="O733" s="729">
        <v>1</v>
      </c>
      <c r="P733" s="732" t="s">
        <v>1487</v>
      </c>
      <c r="Q733" s="726"/>
    </row>
    <row r="734" spans="1:29" s="73" customFormat="1" ht="18">
      <c r="A734" s="727">
        <v>541</v>
      </c>
      <c r="B734" s="727">
        <v>14</v>
      </c>
      <c r="C734" s="728" t="s">
        <v>1515</v>
      </c>
      <c r="D734" s="727" t="s">
        <v>539</v>
      </c>
      <c r="E734" s="727" t="s">
        <v>1484</v>
      </c>
      <c r="F734" s="727">
        <v>5</v>
      </c>
      <c r="G734" s="729">
        <v>586000</v>
      </c>
      <c r="H734" s="729">
        <f t="shared" si="72"/>
        <v>2930000</v>
      </c>
      <c r="I734" s="730">
        <v>5</v>
      </c>
      <c r="J734" s="731">
        <v>636300</v>
      </c>
      <c r="K734" s="692">
        <f t="shared" si="70"/>
        <v>3181500</v>
      </c>
      <c r="L734" s="692">
        <f t="shared" si="71"/>
        <v>50300</v>
      </c>
      <c r="M734" s="729" t="s">
        <v>1511</v>
      </c>
      <c r="N734" s="729" t="s">
        <v>1516</v>
      </c>
      <c r="O734" s="729">
        <v>1</v>
      </c>
      <c r="P734" s="732" t="s">
        <v>1487</v>
      </c>
      <c r="Q734" s="726"/>
      <c r="R734" s="1024"/>
      <c r="S734" s="75"/>
      <c r="T734" s="71"/>
      <c r="U734" s="71"/>
      <c r="V734" s="71"/>
      <c r="W734" s="71"/>
      <c r="X734" s="71"/>
      <c r="Y734" s="71"/>
      <c r="Z734" s="71"/>
      <c r="AA734" s="71"/>
      <c r="AB734" s="71"/>
      <c r="AC734" s="71"/>
    </row>
    <row r="735" spans="1:29" s="73" customFormat="1" ht="18">
      <c r="A735" s="727">
        <v>542</v>
      </c>
      <c r="B735" s="727">
        <v>15</v>
      </c>
      <c r="C735" s="728" t="s">
        <v>1517</v>
      </c>
      <c r="D735" s="727" t="s">
        <v>539</v>
      </c>
      <c r="E735" s="727" t="s">
        <v>1484</v>
      </c>
      <c r="F735" s="727">
        <v>50</v>
      </c>
      <c r="G735" s="729">
        <v>599000</v>
      </c>
      <c r="H735" s="729">
        <f t="shared" si="72"/>
        <v>29950000</v>
      </c>
      <c r="I735" s="730">
        <v>50</v>
      </c>
      <c r="J735" s="731">
        <v>636300</v>
      </c>
      <c r="K735" s="692">
        <f t="shared" si="70"/>
        <v>31815000</v>
      </c>
      <c r="L735" s="692">
        <f t="shared" si="71"/>
        <v>37300</v>
      </c>
      <c r="M735" s="729" t="s">
        <v>1511</v>
      </c>
      <c r="N735" s="729" t="s">
        <v>1512</v>
      </c>
      <c r="O735" s="729">
        <v>1</v>
      </c>
      <c r="P735" s="732" t="s">
        <v>1487</v>
      </c>
      <c r="Q735" s="726"/>
      <c r="R735" s="1024"/>
      <c r="S735" s="75"/>
      <c r="T735" s="71"/>
      <c r="U735" s="71"/>
      <c r="V735" s="71"/>
      <c r="W735" s="71"/>
      <c r="X735" s="71"/>
      <c r="Y735" s="71"/>
      <c r="Z735" s="71"/>
      <c r="AA735" s="71"/>
      <c r="AB735" s="71"/>
      <c r="AC735" s="71"/>
    </row>
    <row r="736" spans="1:29" s="73" customFormat="1" ht="18">
      <c r="A736" s="727">
        <v>543</v>
      </c>
      <c r="B736" s="727">
        <v>16</v>
      </c>
      <c r="C736" s="728" t="s">
        <v>1518</v>
      </c>
      <c r="D736" s="727" t="s">
        <v>539</v>
      </c>
      <c r="E736" s="727" t="s">
        <v>1484</v>
      </c>
      <c r="F736" s="727">
        <v>10</v>
      </c>
      <c r="G736" s="729">
        <v>625000</v>
      </c>
      <c r="H736" s="729">
        <f t="shared" si="72"/>
        <v>6250000</v>
      </c>
      <c r="I736" s="730">
        <v>10</v>
      </c>
      <c r="J736" s="731">
        <v>636300</v>
      </c>
      <c r="K736" s="692">
        <f t="shared" si="70"/>
        <v>6363000</v>
      </c>
      <c r="L736" s="692">
        <f t="shared" si="71"/>
        <v>11300</v>
      </c>
      <c r="M736" s="729" t="s">
        <v>1489</v>
      </c>
      <c r="N736" s="729" t="s">
        <v>1519</v>
      </c>
      <c r="O736" s="729">
        <v>1</v>
      </c>
      <c r="P736" s="732" t="s">
        <v>1487</v>
      </c>
      <c r="Q736" s="726"/>
      <c r="R736" s="1024"/>
      <c r="S736" s="75"/>
      <c r="T736" s="71"/>
      <c r="U736" s="71"/>
      <c r="V736" s="71"/>
      <c r="W736" s="71"/>
      <c r="X736" s="71"/>
      <c r="Y736" s="71"/>
      <c r="Z736" s="71"/>
      <c r="AA736" s="71"/>
      <c r="AB736" s="71"/>
      <c r="AC736" s="71"/>
    </row>
    <row r="737" spans="1:31" s="73" customFormat="1" ht="18">
      <c r="A737" s="727">
        <v>544</v>
      </c>
      <c r="B737" s="727">
        <v>17</v>
      </c>
      <c r="C737" s="728" t="s">
        <v>1520</v>
      </c>
      <c r="D737" s="727" t="s">
        <v>539</v>
      </c>
      <c r="E737" s="727" t="s">
        <v>1484</v>
      </c>
      <c r="F737" s="727">
        <v>50</v>
      </c>
      <c r="G737" s="729">
        <v>7968000</v>
      </c>
      <c r="H737" s="729">
        <f t="shared" si="72"/>
        <v>398400000</v>
      </c>
      <c r="I737" s="730">
        <v>50</v>
      </c>
      <c r="J737" s="731">
        <v>8241600</v>
      </c>
      <c r="K737" s="692">
        <f t="shared" si="70"/>
        <v>412080000</v>
      </c>
      <c r="L737" s="692">
        <f t="shared" si="71"/>
        <v>273600</v>
      </c>
      <c r="M737" s="727" t="s">
        <v>1521</v>
      </c>
      <c r="N737" s="729" t="s">
        <v>1522</v>
      </c>
      <c r="O737" s="729">
        <v>1</v>
      </c>
      <c r="P737" s="732" t="s">
        <v>1487</v>
      </c>
      <c r="Q737" s="726"/>
      <c r="R737" s="1024"/>
      <c r="S737" s="75"/>
      <c r="T737" s="71"/>
      <c r="U737" s="71"/>
      <c r="V737" s="71"/>
      <c r="W737" s="71"/>
      <c r="X737" s="71"/>
      <c r="Y737" s="71"/>
      <c r="Z737" s="71"/>
      <c r="AA737" s="71"/>
      <c r="AB737" s="71"/>
      <c r="AC737" s="71"/>
    </row>
    <row r="738" spans="1:31" s="73" customFormat="1" ht="18">
      <c r="A738" s="727">
        <v>545</v>
      </c>
      <c r="B738" s="727">
        <v>18</v>
      </c>
      <c r="C738" s="728" t="s">
        <v>1523</v>
      </c>
      <c r="D738" s="727" t="s">
        <v>539</v>
      </c>
      <c r="E738" s="727" t="s">
        <v>1484</v>
      </c>
      <c r="F738" s="727">
        <v>50</v>
      </c>
      <c r="G738" s="729">
        <v>7868000</v>
      </c>
      <c r="H738" s="729">
        <f t="shared" si="72"/>
        <v>393400000</v>
      </c>
      <c r="I738" s="730">
        <v>50</v>
      </c>
      <c r="J738" s="731">
        <v>8241600</v>
      </c>
      <c r="K738" s="692">
        <f t="shared" si="70"/>
        <v>412080000</v>
      </c>
      <c r="L738" s="692">
        <f t="shared" si="71"/>
        <v>373600</v>
      </c>
      <c r="M738" s="729" t="s">
        <v>1489</v>
      </c>
      <c r="N738" s="729" t="s">
        <v>1524</v>
      </c>
      <c r="O738" s="729">
        <v>1</v>
      </c>
      <c r="P738" s="732" t="s">
        <v>1487</v>
      </c>
      <c r="Q738" s="726"/>
      <c r="R738" s="1024"/>
      <c r="S738" s="75"/>
      <c r="T738" s="71"/>
      <c r="U738" s="71"/>
      <c r="V738" s="71"/>
      <c r="W738" s="71"/>
      <c r="X738" s="71"/>
      <c r="Y738" s="71"/>
      <c r="Z738" s="71"/>
      <c r="AA738" s="71"/>
      <c r="AB738" s="71"/>
      <c r="AC738" s="71"/>
    </row>
    <row r="739" spans="1:31" s="73" customFormat="1" ht="18">
      <c r="A739" s="727">
        <v>546</v>
      </c>
      <c r="B739" s="727">
        <v>19</v>
      </c>
      <c r="C739" s="728" t="s">
        <v>1525</v>
      </c>
      <c r="D739" s="727" t="s">
        <v>539</v>
      </c>
      <c r="E739" s="727" t="s">
        <v>1484</v>
      </c>
      <c r="F739" s="727">
        <v>5</v>
      </c>
      <c r="G739" s="729">
        <v>1975000</v>
      </c>
      <c r="H739" s="729">
        <f t="shared" si="72"/>
        <v>9875000</v>
      </c>
      <c r="I739" s="730">
        <v>5</v>
      </c>
      <c r="J739" s="731">
        <v>2020000</v>
      </c>
      <c r="K739" s="692">
        <f t="shared" si="70"/>
        <v>10100000</v>
      </c>
      <c r="L739" s="692">
        <f t="shared" si="71"/>
        <v>45000</v>
      </c>
      <c r="M739" s="729" t="s">
        <v>1489</v>
      </c>
      <c r="N739" s="729" t="s">
        <v>1526</v>
      </c>
      <c r="O739" s="729">
        <v>1</v>
      </c>
      <c r="P739" s="732" t="s">
        <v>1487</v>
      </c>
      <c r="Q739" s="726"/>
      <c r="R739" s="1024"/>
      <c r="S739" s="75"/>
      <c r="T739" s="71"/>
      <c r="U739" s="71"/>
      <c r="V739" s="71"/>
      <c r="W739" s="71"/>
      <c r="X739" s="71"/>
      <c r="Y739" s="71"/>
      <c r="Z739" s="71"/>
      <c r="AA739" s="71"/>
      <c r="AB739" s="71"/>
      <c r="AC739" s="71"/>
    </row>
    <row r="740" spans="1:31" s="73" customFormat="1" ht="27">
      <c r="A740" s="727">
        <v>547</v>
      </c>
      <c r="B740" s="727">
        <v>20</v>
      </c>
      <c r="C740" s="728" t="s">
        <v>1527</v>
      </c>
      <c r="D740" s="727" t="s">
        <v>539</v>
      </c>
      <c r="E740" s="727" t="s">
        <v>1484</v>
      </c>
      <c r="F740" s="727">
        <v>5</v>
      </c>
      <c r="G740" s="729">
        <v>625000</v>
      </c>
      <c r="H740" s="729">
        <f t="shared" si="72"/>
        <v>3125000</v>
      </c>
      <c r="I740" s="730">
        <v>5</v>
      </c>
      <c r="J740" s="731">
        <v>636300</v>
      </c>
      <c r="K740" s="692">
        <f t="shared" si="70"/>
        <v>3181500</v>
      </c>
      <c r="L740" s="692">
        <f t="shared" si="71"/>
        <v>11300</v>
      </c>
      <c r="M740" s="729" t="s">
        <v>1528</v>
      </c>
      <c r="N740" s="729" t="s">
        <v>1529</v>
      </c>
      <c r="O740" s="729">
        <v>1</v>
      </c>
      <c r="P740" s="732" t="s">
        <v>1487</v>
      </c>
      <c r="Q740" s="726"/>
      <c r="R740" s="1024"/>
      <c r="S740" s="75"/>
      <c r="T740" s="71"/>
      <c r="U740" s="71"/>
      <c r="V740" s="71"/>
      <c r="W740" s="71"/>
      <c r="X740" s="71"/>
      <c r="Y740" s="71"/>
      <c r="Z740" s="71"/>
      <c r="AA740" s="71"/>
      <c r="AB740" s="71"/>
      <c r="AC740" s="71"/>
    </row>
    <row r="741" spans="1:31" s="73" customFormat="1" ht="18">
      <c r="A741" s="727">
        <v>548</v>
      </c>
      <c r="B741" s="727">
        <v>21</v>
      </c>
      <c r="C741" s="728" t="s">
        <v>1530</v>
      </c>
      <c r="D741" s="727" t="s">
        <v>539</v>
      </c>
      <c r="E741" s="727" t="s">
        <v>1484</v>
      </c>
      <c r="F741" s="727">
        <v>5</v>
      </c>
      <c r="G741" s="729">
        <v>586000</v>
      </c>
      <c r="H741" s="729">
        <f t="shared" si="72"/>
        <v>2930000</v>
      </c>
      <c r="I741" s="730">
        <v>5</v>
      </c>
      <c r="J741" s="731">
        <v>636300</v>
      </c>
      <c r="K741" s="692">
        <f t="shared" si="70"/>
        <v>3181500</v>
      </c>
      <c r="L741" s="692">
        <f t="shared" si="71"/>
        <v>50300</v>
      </c>
      <c r="M741" s="729" t="s">
        <v>1511</v>
      </c>
      <c r="N741" s="729" t="s">
        <v>1531</v>
      </c>
      <c r="O741" s="729">
        <v>1</v>
      </c>
      <c r="P741" s="732" t="s">
        <v>1487</v>
      </c>
      <c r="Q741" s="726"/>
      <c r="R741" s="1024"/>
      <c r="S741" s="75"/>
      <c r="T741" s="71"/>
      <c r="U741" s="71"/>
      <c r="V741" s="71"/>
      <c r="W741" s="71"/>
      <c r="X741" s="71"/>
      <c r="Y741" s="71"/>
      <c r="Z741" s="71"/>
      <c r="AA741" s="71"/>
      <c r="AB741" s="71"/>
      <c r="AC741" s="71"/>
    </row>
    <row r="742" spans="1:31" s="73" customFormat="1" ht="18">
      <c r="A742" s="727">
        <v>549</v>
      </c>
      <c r="B742" s="727">
        <v>22</v>
      </c>
      <c r="C742" s="728" t="s">
        <v>1532</v>
      </c>
      <c r="D742" s="727" t="s">
        <v>539</v>
      </c>
      <c r="E742" s="727" t="s">
        <v>1484</v>
      </c>
      <c r="F742" s="727">
        <v>2</v>
      </c>
      <c r="G742" s="729">
        <v>568000</v>
      </c>
      <c r="H742" s="729">
        <f t="shared" si="72"/>
        <v>1136000</v>
      </c>
      <c r="I742" s="730">
        <v>2</v>
      </c>
      <c r="J742" s="731">
        <v>636300</v>
      </c>
      <c r="K742" s="692">
        <f t="shared" si="70"/>
        <v>1272600</v>
      </c>
      <c r="L742" s="692">
        <f t="shared" si="71"/>
        <v>68300</v>
      </c>
      <c r="M742" s="729" t="s">
        <v>1511</v>
      </c>
      <c r="N742" s="729" t="s">
        <v>1533</v>
      </c>
      <c r="O742" s="729">
        <v>1</v>
      </c>
      <c r="P742" s="732" t="s">
        <v>1487</v>
      </c>
      <c r="Q742" s="726"/>
      <c r="R742" s="1024"/>
      <c r="S742" s="75"/>
      <c r="T742" s="71"/>
      <c r="U742" s="71"/>
      <c r="V742" s="71"/>
      <c r="W742" s="71"/>
      <c r="X742" s="71"/>
      <c r="Y742" s="71"/>
      <c r="Z742" s="71"/>
      <c r="AA742" s="71"/>
      <c r="AB742" s="71"/>
      <c r="AC742" s="71"/>
    </row>
    <row r="743" spans="1:31" s="73" customFormat="1" ht="18">
      <c r="A743" s="727">
        <v>550</v>
      </c>
      <c r="B743" s="727">
        <v>23</v>
      </c>
      <c r="C743" s="728" t="s">
        <v>1534</v>
      </c>
      <c r="D743" s="727" t="s">
        <v>539</v>
      </c>
      <c r="E743" s="727" t="s">
        <v>1484</v>
      </c>
      <c r="F743" s="727">
        <v>50</v>
      </c>
      <c r="G743" s="729">
        <v>925000</v>
      </c>
      <c r="H743" s="729">
        <f t="shared" si="72"/>
        <v>46250000</v>
      </c>
      <c r="I743" s="730">
        <v>50</v>
      </c>
      <c r="J743" s="731">
        <v>954450</v>
      </c>
      <c r="K743" s="692">
        <f t="shared" si="70"/>
        <v>47722500</v>
      </c>
      <c r="L743" s="692">
        <f t="shared" si="71"/>
        <v>29450</v>
      </c>
      <c r="M743" s="729" t="s">
        <v>1489</v>
      </c>
      <c r="N743" s="729" t="s">
        <v>1516</v>
      </c>
      <c r="O743" s="729">
        <v>1</v>
      </c>
      <c r="P743" s="732" t="s">
        <v>1487</v>
      </c>
      <c r="Q743" s="726"/>
      <c r="R743" s="1024"/>
      <c r="S743" s="75"/>
      <c r="T743" s="71"/>
      <c r="U743" s="71"/>
      <c r="V743" s="71"/>
      <c r="W743" s="71"/>
      <c r="X743" s="71"/>
      <c r="Y743" s="71"/>
      <c r="Z743" s="71"/>
      <c r="AA743" s="71"/>
      <c r="AB743" s="71"/>
      <c r="AC743" s="71"/>
    </row>
    <row r="744" spans="1:31" s="73" customFormat="1" ht="18">
      <c r="A744" s="733">
        <v>551</v>
      </c>
      <c r="B744" s="733">
        <v>24</v>
      </c>
      <c r="C744" s="734" t="s">
        <v>1535</v>
      </c>
      <c r="D744" s="733" t="s">
        <v>539</v>
      </c>
      <c r="E744" s="733" t="s">
        <v>1484</v>
      </c>
      <c r="F744" s="733">
        <v>50</v>
      </c>
      <c r="G744" s="735">
        <v>926000</v>
      </c>
      <c r="H744" s="735">
        <f t="shared" si="72"/>
        <v>46300000</v>
      </c>
      <c r="I744" s="736">
        <v>50</v>
      </c>
      <c r="J744" s="737">
        <v>954450</v>
      </c>
      <c r="K744" s="738">
        <f t="shared" si="70"/>
        <v>47722500</v>
      </c>
      <c r="L744" s="738">
        <f t="shared" si="71"/>
        <v>28450</v>
      </c>
      <c r="M744" s="735" t="s">
        <v>1489</v>
      </c>
      <c r="N744" s="735" t="s">
        <v>1536</v>
      </c>
      <c r="O744" s="735">
        <v>1</v>
      </c>
      <c r="P744" s="739"/>
      <c r="Q744" s="726"/>
      <c r="R744" s="1024"/>
      <c r="S744" s="75"/>
      <c r="T744" s="71"/>
      <c r="U744" s="71"/>
      <c r="V744" s="71"/>
      <c r="W744" s="71"/>
      <c r="X744" s="71"/>
      <c r="Y744" s="71"/>
      <c r="Z744" s="71"/>
      <c r="AA744" s="71"/>
      <c r="AB744" s="71"/>
      <c r="AC744" s="71"/>
    </row>
    <row r="745" spans="1:31" s="73" customFormat="1">
      <c r="A745" s="740"/>
      <c r="B745" s="740"/>
      <c r="C745" s="741" t="s">
        <v>1537</v>
      </c>
      <c r="D745" s="740"/>
      <c r="E745" s="740"/>
      <c r="F745" s="742"/>
      <c r="G745" s="742"/>
      <c r="H745" s="742">
        <f>SUM(H721:H744)</f>
        <v>1190081000</v>
      </c>
      <c r="I745" s="743"/>
      <c r="J745" s="743"/>
      <c r="K745" s="742">
        <f>SUM(K721:K744)</f>
        <v>1241688950</v>
      </c>
      <c r="L745" s="743"/>
      <c r="M745" s="742"/>
      <c r="N745" s="744"/>
      <c r="O745" s="740"/>
      <c r="P745" s="740"/>
      <c r="Q745" s="745"/>
      <c r="R745" s="1024"/>
      <c r="S745" s="75"/>
      <c r="T745" s="71"/>
      <c r="U745" s="71"/>
      <c r="V745" s="71"/>
      <c r="W745" s="71"/>
      <c r="X745" s="71"/>
      <c r="Y745" s="71"/>
      <c r="Z745" s="71"/>
      <c r="AA745" s="71"/>
      <c r="AB745" s="71"/>
      <c r="AC745" s="71"/>
    </row>
    <row r="746" spans="1:31" s="73" customFormat="1">
      <c r="A746" s="746"/>
      <c r="B746" s="746"/>
      <c r="C746" s="2145" t="s">
        <v>1538</v>
      </c>
      <c r="D746" s="2146"/>
      <c r="E746" s="2146"/>
      <c r="F746" s="2146"/>
      <c r="G746" s="2146"/>
      <c r="H746" s="2147"/>
      <c r="I746" s="746"/>
      <c r="J746" s="746"/>
      <c r="K746" s="746"/>
      <c r="L746" s="746"/>
      <c r="M746" s="247"/>
      <c r="N746" s="247"/>
      <c r="O746" s="247"/>
      <c r="P746" s="142"/>
      <c r="Q746" s="115"/>
      <c r="R746" s="1024"/>
      <c r="S746" s="75"/>
      <c r="T746" s="71"/>
      <c r="U746" s="71"/>
      <c r="V746" s="71"/>
      <c r="W746" s="71"/>
      <c r="X746" s="71"/>
      <c r="Y746" s="71"/>
      <c r="Z746" s="71"/>
      <c r="AA746" s="71"/>
      <c r="AB746" s="71"/>
      <c r="AC746" s="71"/>
    </row>
    <row r="749" spans="1:31">
      <c r="A749" s="71" t="s">
        <v>1539</v>
      </c>
    </row>
    <row r="751" spans="1:31" s="12" customFormat="1" ht="15.6" customHeight="1">
      <c r="A751" s="2092" t="s">
        <v>5</v>
      </c>
      <c r="B751" s="2092" t="s">
        <v>6</v>
      </c>
      <c r="C751" s="2094" t="s">
        <v>7</v>
      </c>
      <c r="D751" s="2096" t="s">
        <v>8</v>
      </c>
      <c r="E751" s="2092" t="s">
        <v>9</v>
      </c>
      <c r="F751" s="2098" t="s">
        <v>10</v>
      </c>
      <c r="G751" s="2098"/>
      <c r="H751" s="2098"/>
      <c r="I751" s="2098" t="s">
        <v>11</v>
      </c>
      <c r="J751" s="2098"/>
      <c r="K751" s="2098"/>
      <c r="L751" s="2099" t="s">
        <v>12</v>
      </c>
      <c r="M751" s="9"/>
      <c r="N751" s="9"/>
      <c r="O751" s="9"/>
      <c r="P751" s="2101" t="s">
        <v>13</v>
      </c>
      <c r="Q751" s="2265" t="s">
        <v>4740</v>
      </c>
      <c r="R751" s="2319" t="s">
        <v>4754</v>
      </c>
      <c r="S751" s="2267" t="s">
        <v>4767</v>
      </c>
      <c r="T751" s="2268"/>
      <c r="U751" s="2268"/>
      <c r="V751" s="2268"/>
      <c r="W751" s="2269"/>
      <c r="X751" s="2267" t="s">
        <v>4768</v>
      </c>
      <c r="Y751" s="2268"/>
      <c r="Z751" s="2268"/>
      <c r="AA751" s="2268"/>
      <c r="AB751" s="2268"/>
      <c r="AC751" s="2268"/>
      <c r="AD751" s="2268"/>
      <c r="AE751" s="2269"/>
    </row>
    <row r="752" spans="1:31" s="16" customFormat="1" ht="43.15" customHeight="1">
      <c r="A752" s="2093"/>
      <c r="B752" s="2093"/>
      <c r="C752" s="2095"/>
      <c r="D752" s="2097"/>
      <c r="E752" s="2093"/>
      <c r="F752" s="13" t="s">
        <v>14</v>
      </c>
      <c r="G752" s="13" t="s">
        <v>15</v>
      </c>
      <c r="H752" s="13" t="s">
        <v>16</v>
      </c>
      <c r="I752" s="13" t="s">
        <v>14</v>
      </c>
      <c r="J752" s="13" t="s">
        <v>1540</v>
      </c>
      <c r="K752" s="13" t="s">
        <v>16</v>
      </c>
      <c r="L752" s="2100"/>
      <c r="M752" s="14" t="s">
        <v>17</v>
      </c>
      <c r="N752" s="14" t="s">
        <v>18</v>
      </c>
      <c r="O752" s="14" t="s">
        <v>19</v>
      </c>
      <c r="P752" s="2102"/>
      <c r="Q752" s="2266"/>
      <c r="R752" s="2320"/>
      <c r="S752" s="2263" t="s">
        <v>4755</v>
      </c>
      <c r="T752" s="2263" t="s">
        <v>4756</v>
      </c>
      <c r="U752" s="2263" t="s">
        <v>4757</v>
      </c>
      <c r="V752" s="2263" t="s">
        <v>4758</v>
      </c>
      <c r="W752" s="2263" t="s">
        <v>4759</v>
      </c>
      <c r="X752" s="2264" t="s">
        <v>4760</v>
      </c>
      <c r="Y752" s="2264" t="s">
        <v>4761</v>
      </c>
      <c r="Z752" s="2264" t="s">
        <v>4762</v>
      </c>
      <c r="AA752" s="2264" t="s">
        <v>4763</v>
      </c>
      <c r="AB752" s="2264" t="s">
        <v>4764</v>
      </c>
      <c r="AC752" s="2264" t="s">
        <v>4765</v>
      </c>
      <c r="AD752" s="2264" t="s">
        <v>4766</v>
      </c>
      <c r="AE752" s="2264" t="s">
        <v>4755</v>
      </c>
    </row>
    <row r="753" spans="1:31" s="70" customFormat="1">
      <c r="A753" s="331">
        <v>1</v>
      </c>
      <c r="B753" s="331">
        <v>2</v>
      </c>
      <c r="C753" s="63">
        <v>3</v>
      </c>
      <c r="D753" s="331">
        <v>4</v>
      </c>
      <c r="E753" s="331">
        <v>5</v>
      </c>
      <c r="F753" s="57">
        <v>6</v>
      </c>
      <c r="G753" s="57">
        <v>7</v>
      </c>
      <c r="H753" s="331">
        <v>8</v>
      </c>
      <c r="I753" s="331">
        <v>9</v>
      </c>
      <c r="J753" s="331">
        <v>10</v>
      </c>
      <c r="K753" s="331">
        <v>11</v>
      </c>
      <c r="L753" s="331">
        <v>12</v>
      </c>
      <c r="M753" s="331">
        <v>9</v>
      </c>
      <c r="N753" s="331">
        <v>10</v>
      </c>
      <c r="O753" s="331">
        <v>11</v>
      </c>
      <c r="P753" s="331">
        <v>13</v>
      </c>
      <c r="Q753" s="332"/>
      <c r="R753" s="2321"/>
      <c r="S753" s="485"/>
    </row>
    <row r="754" spans="1:31" ht="18">
      <c r="A754" s="108">
        <v>552</v>
      </c>
      <c r="B754" s="108">
        <v>1</v>
      </c>
      <c r="C754" s="747" t="s">
        <v>1541</v>
      </c>
      <c r="D754" s="748" t="s">
        <v>1542</v>
      </c>
      <c r="E754" s="748" t="s">
        <v>47</v>
      </c>
      <c r="F754" s="748">
        <v>120</v>
      </c>
      <c r="G754" s="749">
        <v>1890000</v>
      </c>
      <c r="H754" s="749">
        <f>G754*F754</f>
        <v>226800000</v>
      </c>
      <c r="I754" s="594">
        <v>120</v>
      </c>
      <c r="J754" s="595">
        <v>1908900</v>
      </c>
      <c r="K754" s="107">
        <f>I754*J754</f>
        <v>229068000</v>
      </c>
      <c r="L754" s="107">
        <f t="shared" ref="L754:L768" si="73">J754-G754</f>
        <v>18900</v>
      </c>
      <c r="M754" s="750" t="s">
        <v>1543</v>
      </c>
      <c r="N754" s="750" t="s">
        <v>1544</v>
      </c>
      <c r="O754" s="750"/>
      <c r="P754" s="106" t="s">
        <v>1545</v>
      </c>
      <c r="Q754" s="2337">
        <f t="shared" ref="Q754:Q758" si="74">R754/F754</f>
        <v>1</v>
      </c>
      <c r="R754" s="2332">
        <f t="shared" ref="R754:R758" si="75">+F754-(S754+T754+U754+W754+X754+Y754+Z754+AA754+AB754+AC754+AD754+AE754)</f>
        <v>120</v>
      </c>
      <c r="S754" s="2338"/>
      <c r="T754" s="2338"/>
      <c r="U754" s="2338"/>
      <c r="V754" s="2338"/>
      <c r="W754" s="2339"/>
      <c r="X754" s="2340"/>
      <c r="Y754" s="2341"/>
      <c r="Z754" s="2338"/>
      <c r="AA754" s="2338"/>
      <c r="AB754" s="2338"/>
      <c r="AC754" s="2338"/>
      <c r="AD754" s="2338"/>
      <c r="AE754" s="2341"/>
    </row>
    <row r="755" spans="1:31" ht="18">
      <c r="A755" s="118">
        <v>553</v>
      </c>
      <c r="B755" s="118">
        <v>2</v>
      </c>
      <c r="C755" s="751" t="s">
        <v>1546</v>
      </c>
      <c r="D755" s="118" t="s">
        <v>1542</v>
      </c>
      <c r="E755" s="118" t="s">
        <v>47</v>
      </c>
      <c r="F755" s="118">
        <v>10</v>
      </c>
      <c r="G755" s="752">
        <v>420000</v>
      </c>
      <c r="H755" s="752">
        <f>F755*G755</f>
        <v>4200000</v>
      </c>
      <c r="I755" s="122">
        <v>10</v>
      </c>
      <c r="J755" s="597">
        <v>424200</v>
      </c>
      <c r="K755" s="117">
        <f t="shared" ref="K755:K768" si="76">I755*J755</f>
        <v>4242000</v>
      </c>
      <c r="L755" s="117">
        <f t="shared" si="73"/>
        <v>4200</v>
      </c>
      <c r="M755" s="753" t="s">
        <v>1547</v>
      </c>
      <c r="N755" s="753" t="s">
        <v>1548</v>
      </c>
      <c r="O755" s="753"/>
      <c r="P755" s="116" t="s">
        <v>1545</v>
      </c>
      <c r="Q755" s="2342">
        <f t="shared" si="74"/>
        <v>1</v>
      </c>
      <c r="R755" s="2343">
        <f t="shared" si="75"/>
        <v>10</v>
      </c>
      <c r="S755" s="2344"/>
      <c r="T755" s="2344"/>
      <c r="U755" s="2344"/>
      <c r="V755" s="2344"/>
      <c r="W755" s="2345"/>
      <c r="X755" s="2346"/>
      <c r="Y755" s="2347"/>
      <c r="Z755" s="2344"/>
      <c r="AA755" s="2344"/>
      <c r="AB755" s="2344"/>
      <c r="AC755" s="2344"/>
      <c r="AD755" s="2344"/>
      <c r="AE755" s="2347"/>
    </row>
    <row r="756" spans="1:31" ht="18">
      <c r="A756" s="118">
        <v>554</v>
      </c>
      <c r="B756" s="118">
        <v>3</v>
      </c>
      <c r="C756" s="751" t="s">
        <v>1549</v>
      </c>
      <c r="D756" s="118" t="s">
        <v>1542</v>
      </c>
      <c r="E756" s="118" t="s">
        <v>47</v>
      </c>
      <c r="F756" s="118">
        <v>400</v>
      </c>
      <c r="G756" s="752">
        <v>273000</v>
      </c>
      <c r="H756" s="752">
        <f t="shared" ref="H756:H768" si="77">F756*G756</f>
        <v>109200000</v>
      </c>
      <c r="I756" s="122">
        <v>400</v>
      </c>
      <c r="J756" s="597">
        <v>275730</v>
      </c>
      <c r="K756" s="117">
        <f t="shared" si="76"/>
        <v>110292000</v>
      </c>
      <c r="L756" s="117">
        <f t="shared" si="73"/>
        <v>2730</v>
      </c>
      <c r="M756" s="753" t="s">
        <v>1550</v>
      </c>
      <c r="N756" s="753" t="s">
        <v>1551</v>
      </c>
      <c r="O756" s="753">
        <v>2</v>
      </c>
      <c r="P756" s="116" t="s">
        <v>1545</v>
      </c>
      <c r="Q756" s="2342">
        <f t="shared" si="74"/>
        <v>1</v>
      </c>
      <c r="R756" s="2343">
        <f t="shared" si="75"/>
        <v>400</v>
      </c>
      <c r="S756" s="2344"/>
      <c r="T756" s="2344"/>
      <c r="U756" s="2344"/>
      <c r="V756" s="2344"/>
      <c r="W756" s="2345"/>
      <c r="X756" s="2346"/>
      <c r="Y756" s="2347"/>
      <c r="Z756" s="2344"/>
      <c r="AA756" s="2344"/>
      <c r="AB756" s="2344"/>
      <c r="AC756" s="2344"/>
      <c r="AD756" s="2344"/>
      <c r="AE756" s="2347"/>
    </row>
    <row r="757" spans="1:31" ht="18">
      <c r="A757" s="118">
        <v>555</v>
      </c>
      <c r="B757" s="118">
        <v>4</v>
      </c>
      <c r="C757" s="751" t="s">
        <v>1552</v>
      </c>
      <c r="D757" s="118" t="s">
        <v>1542</v>
      </c>
      <c r="E757" s="118" t="s">
        <v>47</v>
      </c>
      <c r="F757" s="118">
        <v>2</v>
      </c>
      <c r="G757" s="752">
        <v>6300000</v>
      </c>
      <c r="H757" s="752">
        <f t="shared" si="77"/>
        <v>12600000</v>
      </c>
      <c r="I757" s="122">
        <v>2</v>
      </c>
      <c r="J757" s="597">
        <v>6363000</v>
      </c>
      <c r="K757" s="117">
        <f t="shared" si="76"/>
        <v>12726000</v>
      </c>
      <c r="L757" s="117">
        <f t="shared" si="73"/>
        <v>63000</v>
      </c>
      <c r="M757" s="753" t="s">
        <v>1550</v>
      </c>
      <c r="N757" s="753" t="s">
        <v>1553</v>
      </c>
      <c r="O757" s="753"/>
      <c r="P757" s="116" t="s">
        <v>1545</v>
      </c>
      <c r="Q757" s="2342">
        <f t="shared" si="74"/>
        <v>1</v>
      </c>
      <c r="R757" s="2343">
        <f t="shared" si="75"/>
        <v>2</v>
      </c>
      <c r="S757" s="2344"/>
      <c r="T757" s="2344"/>
      <c r="U757" s="2344"/>
      <c r="V757" s="2344"/>
      <c r="W757" s="2345"/>
      <c r="X757" s="2346"/>
      <c r="Y757" s="2347"/>
      <c r="Z757" s="2344"/>
      <c r="AA757" s="2344"/>
      <c r="AB757" s="2344"/>
      <c r="AC757" s="2344"/>
      <c r="AD757" s="2344"/>
      <c r="AE757" s="2347"/>
    </row>
    <row r="758" spans="1:31" ht="18">
      <c r="A758" s="118">
        <v>556</v>
      </c>
      <c r="B758" s="118">
        <v>5</v>
      </c>
      <c r="C758" s="751" t="s">
        <v>1554</v>
      </c>
      <c r="D758" s="118" t="s">
        <v>1542</v>
      </c>
      <c r="E758" s="118" t="s">
        <v>47</v>
      </c>
      <c r="F758" s="118">
        <v>200</v>
      </c>
      <c r="G758" s="752">
        <v>1890000</v>
      </c>
      <c r="H758" s="752">
        <f t="shared" si="77"/>
        <v>378000000</v>
      </c>
      <c r="I758" s="122">
        <v>200</v>
      </c>
      <c r="J758" s="597">
        <v>1908900</v>
      </c>
      <c r="K758" s="117">
        <f t="shared" si="76"/>
        <v>381780000</v>
      </c>
      <c r="L758" s="117">
        <f t="shared" si="73"/>
        <v>18900</v>
      </c>
      <c r="M758" s="753" t="s">
        <v>1555</v>
      </c>
      <c r="N758" s="753" t="s">
        <v>1556</v>
      </c>
      <c r="O758" s="753">
        <v>2</v>
      </c>
      <c r="P758" s="116" t="s">
        <v>1545</v>
      </c>
      <c r="Q758" s="2342">
        <f t="shared" si="74"/>
        <v>1</v>
      </c>
      <c r="R758" s="2343">
        <f t="shared" si="75"/>
        <v>200</v>
      </c>
      <c r="S758" s="2344"/>
      <c r="T758" s="2344"/>
      <c r="U758" s="2344"/>
      <c r="V758" s="2344"/>
      <c r="W758" s="2345"/>
      <c r="X758" s="2346"/>
      <c r="Y758" s="2347"/>
      <c r="Z758" s="2344"/>
      <c r="AA758" s="2344"/>
      <c r="AB758" s="2344"/>
      <c r="AC758" s="2344"/>
      <c r="AD758" s="2344"/>
      <c r="AE758" s="2347"/>
    </row>
    <row r="759" spans="1:31" ht="18">
      <c r="A759" s="118">
        <v>557</v>
      </c>
      <c r="B759" s="118">
        <v>6</v>
      </c>
      <c r="C759" s="751" t="s">
        <v>1557</v>
      </c>
      <c r="D759" s="118" t="s">
        <v>1542</v>
      </c>
      <c r="E759" s="118" t="s">
        <v>47</v>
      </c>
      <c r="F759" s="118">
        <v>100</v>
      </c>
      <c r="G759" s="752">
        <v>7770000</v>
      </c>
      <c r="H759" s="752">
        <f t="shared" si="77"/>
        <v>777000000</v>
      </c>
      <c r="I759" s="122">
        <v>100</v>
      </c>
      <c r="J759" s="597">
        <v>7980000</v>
      </c>
      <c r="K759" s="117">
        <f t="shared" si="76"/>
        <v>798000000</v>
      </c>
      <c r="L759" s="117">
        <f t="shared" si="73"/>
        <v>210000</v>
      </c>
      <c r="M759" s="753" t="s">
        <v>1555</v>
      </c>
      <c r="N759" s="753" t="s">
        <v>1558</v>
      </c>
      <c r="O759" s="753">
        <v>2</v>
      </c>
      <c r="P759" s="116" t="s">
        <v>1545</v>
      </c>
      <c r="Q759" s="2337">
        <f t="shared" ref="Q759:Q768" si="78">R759/F759</f>
        <v>1</v>
      </c>
      <c r="R759" s="2332">
        <f t="shared" ref="R759:R768" si="79">+F759-(S759+T759+U759+W759+X759+Y759+Z759+AA759+AB759+AC759+AD759+AE759)</f>
        <v>100</v>
      </c>
      <c r="S759" s="2338"/>
      <c r="T759" s="2338"/>
      <c r="U759" s="2338"/>
      <c r="V759" s="2338"/>
      <c r="W759" s="2339"/>
      <c r="X759" s="2340"/>
      <c r="Y759" s="2341"/>
      <c r="Z759" s="2338"/>
      <c r="AA759" s="2338"/>
      <c r="AB759" s="2338"/>
      <c r="AC759" s="2338"/>
      <c r="AD759" s="2338"/>
      <c r="AE759" s="2341"/>
    </row>
    <row r="760" spans="1:31" ht="18">
      <c r="A760" s="118">
        <v>558</v>
      </c>
      <c r="B760" s="118">
        <v>7</v>
      </c>
      <c r="C760" s="751" t="s">
        <v>1559</v>
      </c>
      <c r="D760" s="118" t="s">
        <v>1542</v>
      </c>
      <c r="E760" s="118" t="s">
        <v>47</v>
      </c>
      <c r="F760" s="118">
        <v>100</v>
      </c>
      <c r="G760" s="752">
        <v>7770000</v>
      </c>
      <c r="H760" s="752">
        <f t="shared" si="77"/>
        <v>777000000</v>
      </c>
      <c r="I760" s="122">
        <v>100</v>
      </c>
      <c r="J760" s="597">
        <v>7980000</v>
      </c>
      <c r="K760" s="117">
        <f t="shared" si="76"/>
        <v>798000000</v>
      </c>
      <c r="L760" s="117">
        <f t="shared" si="73"/>
        <v>210000</v>
      </c>
      <c r="M760" s="753" t="s">
        <v>1560</v>
      </c>
      <c r="N760" s="753" t="s">
        <v>1561</v>
      </c>
      <c r="O760" s="753">
        <v>2</v>
      </c>
      <c r="P760" s="116" t="s">
        <v>1545</v>
      </c>
      <c r="Q760" s="2342">
        <f t="shared" si="78"/>
        <v>1</v>
      </c>
      <c r="R760" s="2343">
        <f t="shared" si="79"/>
        <v>100</v>
      </c>
      <c r="S760" s="2344"/>
      <c r="T760" s="2344"/>
      <c r="U760" s="2344"/>
      <c r="V760" s="2344"/>
      <c r="W760" s="2345"/>
      <c r="X760" s="2346"/>
      <c r="Y760" s="2347"/>
      <c r="Z760" s="2344"/>
      <c r="AA760" s="2344"/>
      <c r="AB760" s="2344"/>
      <c r="AC760" s="2344"/>
      <c r="AD760" s="2344"/>
      <c r="AE760" s="2347"/>
    </row>
    <row r="761" spans="1:31" ht="18">
      <c r="A761" s="118">
        <v>559</v>
      </c>
      <c r="B761" s="118">
        <v>8</v>
      </c>
      <c r="C761" s="751" t="s">
        <v>1562</v>
      </c>
      <c r="D761" s="118" t="s">
        <v>95</v>
      </c>
      <c r="E761" s="118" t="s">
        <v>47</v>
      </c>
      <c r="F761" s="118">
        <v>10</v>
      </c>
      <c r="G761" s="752">
        <v>3402000</v>
      </c>
      <c r="H761" s="752">
        <f t="shared" si="77"/>
        <v>34020000</v>
      </c>
      <c r="I761" s="122">
        <v>10</v>
      </c>
      <c r="J761" s="754">
        <v>3402000</v>
      </c>
      <c r="K761" s="117">
        <f t="shared" si="76"/>
        <v>34020000</v>
      </c>
      <c r="L761" s="117">
        <f t="shared" si="73"/>
        <v>0</v>
      </c>
      <c r="M761" s="753" t="s">
        <v>1560</v>
      </c>
      <c r="N761" s="753" t="s">
        <v>1563</v>
      </c>
      <c r="O761" s="753"/>
      <c r="P761" s="116" t="s">
        <v>1545</v>
      </c>
      <c r="Q761" s="2342">
        <f t="shared" si="78"/>
        <v>1</v>
      </c>
      <c r="R761" s="2343">
        <f t="shared" si="79"/>
        <v>10</v>
      </c>
      <c r="S761" s="2344"/>
      <c r="T761" s="2344"/>
      <c r="U761" s="2344"/>
      <c r="V761" s="2344"/>
      <c r="W761" s="2345"/>
      <c r="X761" s="2346"/>
      <c r="Y761" s="2347"/>
      <c r="Z761" s="2344"/>
      <c r="AA761" s="2344"/>
      <c r="AB761" s="2344"/>
      <c r="AC761" s="2344"/>
      <c r="AD761" s="2344"/>
      <c r="AE761" s="2347"/>
    </row>
    <row r="762" spans="1:31" ht="18">
      <c r="A762" s="118">
        <v>560</v>
      </c>
      <c r="B762" s="118">
        <v>9</v>
      </c>
      <c r="C762" s="751" t="s">
        <v>1564</v>
      </c>
      <c r="D762" s="118" t="s">
        <v>95</v>
      </c>
      <c r="E762" s="118" t="s">
        <v>47</v>
      </c>
      <c r="F762" s="118">
        <v>20</v>
      </c>
      <c r="G762" s="752">
        <v>1260000</v>
      </c>
      <c r="H762" s="752">
        <f t="shared" si="77"/>
        <v>25200000</v>
      </c>
      <c r="I762" s="122">
        <v>20</v>
      </c>
      <c r="J762" s="754">
        <v>1260000</v>
      </c>
      <c r="K762" s="117">
        <f t="shared" si="76"/>
        <v>25200000</v>
      </c>
      <c r="L762" s="117">
        <f t="shared" si="73"/>
        <v>0</v>
      </c>
      <c r="M762" s="753" t="s">
        <v>1565</v>
      </c>
      <c r="N762" s="753" t="s">
        <v>1566</v>
      </c>
      <c r="O762" s="753"/>
      <c r="P762" s="116" t="s">
        <v>1545</v>
      </c>
      <c r="Q762" s="2342">
        <f t="shared" si="78"/>
        <v>1</v>
      </c>
      <c r="R762" s="2343">
        <f t="shared" si="79"/>
        <v>20</v>
      </c>
      <c r="S762" s="2344"/>
      <c r="T762" s="2344"/>
      <c r="U762" s="2344"/>
      <c r="V762" s="2344"/>
      <c r="W762" s="2345"/>
      <c r="X762" s="2346"/>
      <c r="Y762" s="2347"/>
      <c r="Z762" s="2344"/>
      <c r="AA762" s="2344"/>
      <c r="AB762" s="2344"/>
      <c r="AC762" s="2344"/>
      <c r="AD762" s="2344"/>
      <c r="AE762" s="2347"/>
    </row>
    <row r="763" spans="1:31" ht="18">
      <c r="A763" s="118">
        <v>561</v>
      </c>
      <c r="B763" s="118">
        <v>10</v>
      </c>
      <c r="C763" s="751" t="s">
        <v>1567</v>
      </c>
      <c r="D763" s="118" t="s">
        <v>531</v>
      </c>
      <c r="E763" s="118" t="s">
        <v>47</v>
      </c>
      <c r="F763" s="118">
        <v>20</v>
      </c>
      <c r="G763" s="752">
        <v>1995000</v>
      </c>
      <c r="H763" s="752">
        <f t="shared" si="77"/>
        <v>39900000</v>
      </c>
      <c r="I763" s="122">
        <v>20</v>
      </c>
      <c r="J763" s="754">
        <v>1995000</v>
      </c>
      <c r="K763" s="117">
        <f t="shared" si="76"/>
        <v>39900000</v>
      </c>
      <c r="L763" s="117">
        <f t="shared" si="73"/>
        <v>0</v>
      </c>
      <c r="M763" s="753" t="s">
        <v>1565</v>
      </c>
      <c r="N763" s="753" t="s">
        <v>1568</v>
      </c>
      <c r="O763" s="753">
        <v>2</v>
      </c>
      <c r="P763" s="116" t="s">
        <v>1545</v>
      </c>
      <c r="Q763" s="2342">
        <f t="shared" si="78"/>
        <v>1</v>
      </c>
      <c r="R763" s="2343">
        <f t="shared" si="79"/>
        <v>20</v>
      </c>
      <c r="S763" s="2344"/>
      <c r="T763" s="2344"/>
      <c r="U763" s="2344"/>
      <c r="V763" s="2344"/>
      <c r="W763" s="2345"/>
      <c r="X763" s="2346"/>
      <c r="Y763" s="2347"/>
      <c r="Z763" s="2344"/>
      <c r="AA763" s="2344"/>
      <c r="AB763" s="2344"/>
      <c r="AC763" s="2344"/>
      <c r="AD763" s="2344"/>
      <c r="AE763" s="2347"/>
    </row>
    <row r="764" spans="1:31" ht="18">
      <c r="A764" s="118">
        <v>562</v>
      </c>
      <c r="B764" s="118">
        <v>11</v>
      </c>
      <c r="C764" s="751" t="s">
        <v>1569</v>
      </c>
      <c r="D764" s="118" t="s">
        <v>531</v>
      </c>
      <c r="E764" s="118" t="s">
        <v>47</v>
      </c>
      <c r="F764" s="118">
        <v>20</v>
      </c>
      <c r="G764" s="752">
        <v>7140000</v>
      </c>
      <c r="H764" s="752">
        <f t="shared" si="77"/>
        <v>142800000</v>
      </c>
      <c r="I764" s="122">
        <v>20</v>
      </c>
      <c r="J764" s="754">
        <v>7140000</v>
      </c>
      <c r="K764" s="117">
        <f t="shared" si="76"/>
        <v>142800000</v>
      </c>
      <c r="L764" s="117">
        <f t="shared" si="73"/>
        <v>0</v>
      </c>
      <c r="M764" s="753" t="s">
        <v>1565</v>
      </c>
      <c r="N764" s="753" t="s">
        <v>1570</v>
      </c>
      <c r="O764" s="753"/>
      <c r="P764" s="116" t="s">
        <v>1545</v>
      </c>
      <c r="Q764" s="2337">
        <f t="shared" si="78"/>
        <v>1</v>
      </c>
      <c r="R764" s="2332">
        <f t="shared" si="79"/>
        <v>20</v>
      </c>
      <c r="S764" s="2338"/>
      <c r="T764" s="2338"/>
      <c r="U764" s="2338"/>
      <c r="V764" s="2338"/>
      <c r="W764" s="2339"/>
      <c r="X764" s="2340"/>
      <c r="Y764" s="2341"/>
      <c r="Z764" s="2338"/>
      <c r="AA764" s="2338"/>
      <c r="AB764" s="2338"/>
      <c r="AC764" s="2338"/>
      <c r="AD764" s="2338"/>
      <c r="AE764" s="2341"/>
    </row>
    <row r="765" spans="1:31" ht="18">
      <c r="A765" s="118">
        <v>563</v>
      </c>
      <c r="B765" s="118">
        <v>12</v>
      </c>
      <c r="C765" s="751" t="s">
        <v>1571</v>
      </c>
      <c r="D765" s="118" t="s">
        <v>531</v>
      </c>
      <c r="E765" s="118" t="s">
        <v>47</v>
      </c>
      <c r="F765" s="118">
        <v>20</v>
      </c>
      <c r="G765" s="755">
        <v>777000</v>
      </c>
      <c r="H765" s="752">
        <f t="shared" si="77"/>
        <v>15540000</v>
      </c>
      <c r="I765" s="122">
        <v>20</v>
      </c>
      <c r="J765" s="754">
        <v>819000</v>
      </c>
      <c r="K765" s="117">
        <f t="shared" si="76"/>
        <v>16380000</v>
      </c>
      <c r="L765" s="117">
        <f t="shared" si="73"/>
        <v>42000</v>
      </c>
      <c r="M765" s="753" t="s">
        <v>1555</v>
      </c>
      <c r="N765" s="753" t="s">
        <v>1572</v>
      </c>
      <c r="O765" s="753">
        <v>2</v>
      </c>
      <c r="P765" s="116" t="s">
        <v>1545</v>
      </c>
      <c r="Q765" s="2342">
        <f t="shared" si="78"/>
        <v>1</v>
      </c>
      <c r="R765" s="2343">
        <f t="shared" si="79"/>
        <v>20</v>
      </c>
      <c r="S765" s="2344"/>
      <c r="T765" s="2344"/>
      <c r="U765" s="2344"/>
      <c r="V765" s="2344"/>
      <c r="W765" s="2345"/>
      <c r="X765" s="2346"/>
      <c r="Y765" s="2347"/>
      <c r="Z765" s="2344"/>
      <c r="AA765" s="2344"/>
      <c r="AB765" s="2344"/>
      <c r="AC765" s="2344"/>
      <c r="AD765" s="2344"/>
      <c r="AE765" s="2347"/>
    </row>
    <row r="766" spans="1:31" ht="18">
      <c r="A766" s="118">
        <v>564</v>
      </c>
      <c r="B766" s="118">
        <v>13</v>
      </c>
      <c r="C766" s="751" t="s">
        <v>1573</v>
      </c>
      <c r="D766" s="118" t="s">
        <v>1542</v>
      </c>
      <c r="E766" s="118" t="s">
        <v>47</v>
      </c>
      <c r="F766" s="118">
        <v>20</v>
      </c>
      <c r="G766" s="755">
        <v>8400000</v>
      </c>
      <c r="H766" s="752">
        <f t="shared" si="77"/>
        <v>168000000</v>
      </c>
      <c r="I766" s="122">
        <v>20</v>
      </c>
      <c r="J766" s="754">
        <v>9450000</v>
      </c>
      <c r="K766" s="117">
        <f t="shared" si="76"/>
        <v>189000000</v>
      </c>
      <c r="L766" s="117">
        <f t="shared" si="73"/>
        <v>1050000</v>
      </c>
      <c r="M766" s="753" t="s">
        <v>1560</v>
      </c>
      <c r="N766" s="753" t="s">
        <v>1574</v>
      </c>
      <c r="O766" s="753">
        <v>2</v>
      </c>
      <c r="P766" s="116" t="s">
        <v>1545</v>
      </c>
      <c r="Q766" s="2342">
        <f t="shared" si="78"/>
        <v>1</v>
      </c>
      <c r="R766" s="2343">
        <f t="shared" si="79"/>
        <v>20</v>
      </c>
      <c r="S766" s="2344"/>
      <c r="T766" s="2344"/>
      <c r="U766" s="2344"/>
      <c r="V766" s="2344"/>
      <c r="W766" s="2345"/>
      <c r="X766" s="2346"/>
      <c r="Y766" s="2347"/>
      <c r="Z766" s="2344"/>
      <c r="AA766" s="2344"/>
      <c r="AB766" s="2344"/>
      <c r="AC766" s="2344"/>
      <c r="AD766" s="2344"/>
      <c r="AE766" s="2347"/>
    </row>
    <row r="767" spans="1:31" ht="27">
      <c r="A767" s="118">
        <v>565</v>
      </c>
      <c r="B767" s="118">
        <v>14</v>
      </c>
      <c r="C767" s="756" t="s">
        <v>1575</v>
      </c>
      <c r="D767" s="755" t="s">
        <v>1542</v>
      </c>
      <c r="E767" s="755" t="s">
        <v>209</v>
      </c>
      <c r="F767" s="755">
        <v>5</v>
      </c>
      <c r="G767" s="752">
        <v>12000000</v>
      </c>
      <c r="H767" s="752">
        <f t="shared" si="77"/>
        <v>60000000</v>
      </c>
      <c r="I767" s="122">
        <v>5</v>
      </c>
      <c r="J767" s="754">
        <v>12000000</v>
      </c>
      <c r="K767" s="117">
        <f t="shared" si="76"/>
        <v>60000000</v>
      </c>
      <c r="L767" s="117">
        <f t="shared" si="73"/>
        <v>0</v>
      </c>
      <c r="M767" s="753" t="s">
        <v>1560</v>
      </c>
      <c r="N767" s="753" t="s">
        <v>1576</v>
      </c>
      <c r="O767" s="753">
        <v>2</v>
      </c>
      <c r="P767" s="116" t="s">
        <v>1545</v>
      </c>
      <c r="Q767" s="2342">
        <f t="shared" si="78"/>
        <v>1</v>
      </c>
      <c r="R767" s="2343">
        <f t="shared" si="79"/>
        <v>5</v>
      </c>
      <c r="S767" s="2344"/>
      <c r="T767" s="2344"/>
      <c r="U767" s="2344"/>
      <c r="V767" s="2344"/>
      <c r="W767" s="2345"/>
      <c r="X767" s="2346"/>
      <c r="Y767" s="2347"/>
      <c r="Z767" s="2344"/>
      <c r="AA767" s="2344"/>
      <c r="AB767" s="2344"/>
      <c r="AC767" s="2344"/>
      <c r="AD767" s="2344"/>
      <c r="AE767" s="2347"/>
    </row>
    <row r="768" spans="1:31" ht="27">
      <c r="A768" s="602">
        <v>566</v>
      </c>
      <c r="B768" s="602">
        <v>15</v>
      </c>
      <c r="C768" s="757" t="s">
        <v>1577</v>
      </c>
      <c r="D768" s="758" t="s">
        <v>1578</v>
      </c>
      <c r="E768" s="758" t="s">
        <v>192</v>
      </c>
      <c r="F768" s="758">
        <v>15</v>
      </c>
      <c r="G768" s="759">
        <v>8820000</v>
      </c>
      <c r="H768" s="759">
        <f t="shared" si="77"/>
        <v>132300000</v>
      </c>
      <c r="I768" s="126">
        <v>15</v>
      </c>
      <c r="J768" s="760">
        <v>8820000</v>
      </c>
      <c r="K768" s="127">
        <f t="shared" si="76"/>
        <v>132300000</v>
      </c>
      <c r="L768" s="127">
        <f t="shared" si="73"/>
        <v>0</v>
      </c>
      <c r="M768" s="601"/>
      <c r="N768" s="601"/>
      <c r="O768" s="601"/>
      <c r="P768" s="116" t="s">
        <v>1545</v>
      </c>
      <c r="Q768" s="2342">
        <f t="shared" si="78"/>
        <v>1</v>
      </c>
      <c r="R768" s="2343">
        <f t="shared" si="79"/>
        <v>15</v>
      </c>
      <c r="S768" s="2344"/>
      <c r="T768" s="2344"/>
      <c r="U768" s="2344"/>
      <c r="V768" s="2344"/>
      <c r="W768" s="2345"/>
      <c r="X768" s="2346"/>
      <c r="Y768" s="2347"/>
      <c r="Z768" s="2344"/>
      <c r="AA768" s="2344"/>
      <c r="AB768" s="2344"/>
      <c r="AC768" s="2344"/>
      <c r="AD768" s="2344"/>
      <c r="AE768" s="2347"/>
    </row>
    <row r="769" spans="1:31">
      <c r="A769" s="740"/>
      <c r="B769" s="761"/>
      <c r="C769" s="762" t="s">
        <v>1579</v>
      </c>
      <c r="D769" s="761"/>
      <c r="E769" s="761"/>
      <c r="F769" s="761"/>
      <c r="G769" s="763"/>
      <c r="H769" s="2301">
        <f>SUM(H754:H768)</f>
        <v>2902560000</v>
      </c>
      <c r="I769" s="593"/>
      <c r="J769" s="593"/>
      <c r="K769" s="763">
        <f>SUM(K754:K768)</f>
        <v>2973708000</v>
      </c>
      <c r="L769" s="743"/>
      <c r="M769" s="142"/>
      <c r="N769" s="142"/>
      <c r="O769" s="142"/>
      <c r="P769" s="142"/>
      <c r="Q769" s="115"/>
    </row>
    <row r="770" spans="1:31">
      <c r="C770" s="72" t="s">
        <v>1580</v>
      </c>
    </row>
    <row r="775" spans="1:31">
      <c r="A775" s="71" t="s">
        <v>1581</v>
      </c>
    </row>
    <row r="776" spans="1:31" s="12" customFormat="1">
      <c r="A776" s="2092" t="s">
        <v>5</v>
      </c>
      <c r="B776" s="2092" t="s">
        <v>6</v>
      </c>
      <c r="C776" s="2094" t="s">
        <v>7</v>
      </c>
      <c r="D776" s="2096" t="s">
        <v>8</v>
      </c>
      <c r="E776" s="2092" t="s">
        <v>9</v>
      </c>
      <c r="F776" s="2098" t="s">
        <v>10</v>
      </c>
      <c r="G776" s="2098"/>
      <c r="H776" s="2098"/>
      <c r="I776" s="2098" t="s">
        <v>11</v>
      </c>
      <c r="J776" s="2098"/>
      <c r="K776" s="2098"/>
      <c r="L776" s="2099" t="s">
        <v>12</v>
      </c>
      <c r="M776" s="9"/>
      <c r="N776" s="9"/>
      <c r="O776" s="9"/>
      <c r="P776" s="2101" t="s">
        <v>13</v>
      </c>
      <c r="Q776" s="2265" t="s">
        <v>4740</v>
      </c>
      <c r="R776" s="2319" t="s">
        <v>4754</v>
      </c>
      <c r="S776" s="2267" t="s">
        <v>4767</v>
      </c>
      <c r="T776" s="2268"/>
      <c r="U776" s="2268"/>
      <c r="V776" s="2268"/>
      <c r="W776" s="2269"/>
      <c r="X776" s="2267" t="s">
        <v>4768</v>
      </c>
      <c r="Y776" s="2268"/>
      <c r="Z776" s="2268"/>
      <c r="AA776" s="2268"/>
      <c r="AB776" s="2268"/>
      <c r="AC776" s="2268"/>
      <c r="AD776" s="2268"/>
      <c r="AE776" s="2269"/>
    </row>
    <row r="777" spans="1:31" s="16" customFormat="1" ht="27">
      <c r="A777" s="2093"/>
      <c r="B777" s="2093"/>
      <c r="C777" s="2095"/>
      <c r="D777" s="2097"/>
      <c r="E777" s="2093"/>
      <c r="F777" s="13" t="s">
        <v>14</v>
      </c>
      <c r="G777" s="13" t="s">
        <v>15</v>
      </c>
      <c r="H777" s="13" t="s">
        <v>16</v>
      </c>
      <c r="I777" s="13" t="s">
        <v>14</v>
      </c>
      <c r="J777" s="13" t="s">
        <v>15</v>
      </c>
      <c r="K777" s="13" t="s">
        <v>16</v>
      </c>
      <c r="L777" s="2100"/>
      <c r="M777" s="14" t="s">
        <v>17</v>
      </c>
      <c r="N777" s="14" t="s">
        <v>18</v>
      </c>
      <c r="O777" s="14" t="s">
        <v>19</v>
      </c>
      <c r="P777" s="2102"/>
      <c r="Q777" s="2266"/>
      <c r="R777" s="2320"/>
      <c r="S777" s="2263" t="s">
        <v>4755</v>
      </c>
      <c r="T777" s="2263" t="s">
        <v>4756</v>
      </c>
      <c r="U777" s="2263" t="s">
        <v>4757</v>
      </c>
      <c r="V777" s="2263" t="s">
        <v>4758</v>
      </c>
      <c r="W777" s="2263" t="s">
        <v>4759</v>
      </c>
      <c r="X777" s="2264" t="s">
        <v>4760</v>
      </c>
      <c r="Y777" s="2264" t="s">
        <v>4761</v>
      </c>
      <c r="Z777" s="2264" t="s">
        <v>4762</v>
      </c>
      <c r="AA777" s="2264" t="s">
        <v>4763</v>
      </c>
      <c r="AB777" s="2264" t="s">
        <v>4764</v>
      </c>
      <c r="AC777" s="2264" t="s">
        <v>4765</v>
      </c>
      <c r="AD777" s="2264" t="s">
        <v>4766</v>
      </c>
      <c r="AE777" s="2264" t="s">
        <v>4755</v>
      </c>
    </row>
    <row r="778" spans="1:31" s="70" customFormat="1">
      <c r="A778" s="331">
        <v>1</v>
      </c>
      <c r="B778" s="331">
        <v>2</v>
      </c>
      <c r="C778" s="63">
        <v>3</v>
      </c>
      <c r="D778" s="331">
        <v>4</v>
      </c>
      <c r="E778" s="331">
        <v>5</v>
      </c>
      <c r="F778" s="57">
        <v>6</v>
      </c>
      <c r="G778" s="57">
        <v>7</v>
      </c>
      <c r="H778" s="331">
        <v>8</v>
      </c>
      <c r="I778" s="331">
        <v>9</v>
      </c>
      <c r="J778" s="331">
        <v>10</v>
      </c>
      <c r="K778" s="331">
        <v>11</v>
      </c>
      <c r="L778" s="331">
        <v>12</v>
      </c>
      <c r="M778" s="331">
        <v>9</v>
      </c>
      <c r="N778" s="331">
        <v>10</v>
      </c>
      <c r="O778" s="331">
        <v>11</v>
      </c>
      <c r="P778" s="331">
        <v>13</v>
      </c>
      <c r="Q778" s="332"/>
      <c r="R778" s="2321"/>
      <c r="S778" s="485"/>
    </row>
    <row r="779" spans="1:31" ht="27">
      <c r="A779" s="764">
        <v>567</v>
      </c>
      <c r="B779" s="764">
        <v>1</v>
      </c>
      <c r="C779" s="765" t="s">
        <v>1582</v>
      </c>
      <c r="D779" s="610" t="s">
        <v>539</v>
      </c>
      <c r="E779" s="610" t="s">
        <v>47</v>
      </c>
      <c r="F779" s="766">
        <v>20</v>
      </c>
      <c r="G779" s="767">
        <v>4500000</v>
      </c>
      <c r="H779" s="767">
        <f>F779*G779</f>
        <v>90000000</v>
      </c>
      <c r="I779" s="768">
        <v>20</v>
      </c>
      <c r="J779" s="278">
        <v>5500000</v>
      </c>
      <c r="K779" s="278">
        <f t="shared" ref="K779:K785" si="80">J779*I779</f>
        <v>110000000</v>
      </c>
      <c r="L779" s="397">
        <f t="shared" ref="L779:L785" si="81">J779-G779</f>
        <v>1000000</v>
      </c>
      <c r="M779" s="610" t="s">
        <v>1583</v>
      </c>
      <c r="N779" s="769" t="s">
        <v>1584</v>
      </c>
      <c r="O779" s="610">
        <v>3</v>
      </c>
      <c r="P779" s="400" t="s">
        <v>1585</v>
      </c>
      <c r="Q779" s="2337">
        <f t="shared" ref="Q779" si="82">R779/F779</f>
        <v>1</v>
      </c>
      <c r="R779" s="2332">
        <f t="shared" ref="R779" si="83">+F779-(S779+T779+U779+W779+X779+Y779+Z779+AA779+AB779+AC779+AD779+AE779)</f>
        <v>20</v>
      </c>
      <c r="S779" s="2338"/>
      <c r="T779" s="2338"/>
      <c r="U779" s="2338"/>
      <c r="V779" s="2338"/>
      <c r="W779" s="2339"/>
      <c r="X779" s="2340"/>
      <c r="Y779" s="2341"/>
      <c r="Z779" s="2338"/>
      <c r="AA779" s="2338"/>
      <c r="AB779" s="2338"/>
      <c r="AC779" s="2338"/>
      <c r="AD779" s="2338"/>
      <c r="AE779" s="2341"/>
    </row>
    <row r="780" spans="1:31" ht="15">
      <c r="A780" s="620">
        <v>568</v>
      </c>
      <c r="B780" s="620">
        <v>2</v>
      </c>
      <c r="C780" s="652" t="s">
        <v>1586</v>
      </c>
      <c r="D780" s="616" t="s">
        <v>539</v>
      </c>
      <c r="E780" s="616" t="s">
        <v>47</v>
      </c>
      <c r="F780" s="770">
        <v>50</v>
      </c>
      <c r="G780" s="771">
        <v>7500000</v>
      </c>
      <c r="H780" s="771">
        <f t="shared" ref="H780:H785" si="84">F780*G780</f>
        <v>375000000</v>
      </c>
      <c r="I780" s="772">
        <v>50</v>
      </c>
      <c r="J780" s="164">
        <v>7930000</v>
      </c>
      <c r="K780" s="164">
        <f t="shared" si="80"/>
        <v>396500000</v>
      </c>
      <c r="L780" s="304">
        <f t="shared" si="81"/>
        <v>430000</v>
      </c>
      <c r="M780" s="616" t="s">
        <v>1583</v>
      </c>
      <c r="N780" s="621" t="s">
        <v>1587</v>
      </c>
      <c r="O780" s="616">
        <v>3</v>
      </c>
      <c r="P780" s="403" t="s">
        <v>1585</v>
      </c>
      <c r="Q780" s="2342">
        <f t="shared" ref="Q780:Q785" si="85">R780/F780</f>
        <v>1</v>
      </c>
      <c r="R780" s="2343">
        <f t="shared" ref="R780:R785" si="86">+F780-(S780+T780+U780+W780+X780+Y780+Z780+AA780+AB780+AC780+AD780+AE780)</f>
        <v>50</v>
      </c>
      <c r="S780" s="2344"/>
      <c r="T780" s="2344"/>
      <c r="U780" s="2344"/>
      <c r="V780" s="2344"/>
      <c r="W780" s="2345"/>
      <c r="X780" s="2346"/>
      <c r="Y780" s="2347"/>
      <c r="Z780" s="2344"/>
      <c r="AA780" s="2344"/>
      <c r="AB780" s="2344"/>
      <c r="AC780" s="2344"/>
      <c r="AD780" s="2344"/>
      <c r="AE780" s="2347"/>
    </row>
    <row r="781" spans="1:31" ht="15">
      <c r="A781" s="620">
        <v>569</v>
      </c>
      <c r="B781" s="620">
        <v>3</v>
      </c>
      <c r="C781" s="652" t="s">
        <v>1588</v>
      </c>
      <c r="D781" s="616" t="s">
        <v>539</v>
      </c>
      <c r="E781" s="616" t="s">
        <v>47</v>
      </c>
      <c r="F781" s="770">
        <v>10</v>
      </c>
      <c r="G781" s="771">
        <v>2300000</v>
      </c>
      <c r="H781" s="771">
        <f t="shared" si="84"/>
        <v>23000000</v>
      </c>
      <c r="I781" s="772">
        <v>10</v>
      </c>
      <c r="J781" s="773">
        <v>2500000</v>
      </c>
      <c r="K781" s="773">
        <f t="shared" si="80"/>
        <v>25000000</v>
      </c>
      <c r="L781" s="304">
        <f t="shared" si="81"/>
        <v>200000</v>
      </c>
      <c r="M781" s="616" t="s">
        <v>1589</v>
      </c>
      <c r="N781" s="621" t="s">
        <v>1590</v>
      </c>
      <c r="O781" s="616">
        <v>3</v>
      </c>
      <c r="P781" s="403" t="s">
        <v>1585</v>
      </c>
      <c r="Q781" s="2342">
        <f t="shared" si="85"/>
        <v>1</v>
      </c>
      <c r="R781" s="2343">
        <f t="shared" si="86"/>
        <v>10</v>
      </c>
      <c r="S781" s="2344"/>
      <c r="T781" s="2344"/>
      <c r="U781" s="2344"/>
      <c r="V781" s="2344"/>
      <c r="W781" s="2345"/>
      <c r="X781" s="2346"/>
      <c r="Y781" s="2347"/>
      <c r="Z781" s="2344"/>
      <c r="AA781" s="2344"/>
      <c r="AB781" s="2344"/>
      <c r="AC781" s="2344"/>
      <c r="AD781" s="2344"/>
      <c r="AE781" s="2347"/>
    </row>
    <row r="782" spans="1:31" ht="15">
      <c r="A782" s="620">
        <v>570</v>
      </c>
      <c r="B782" s="620">
        <v>4</v>
      </c>
      <c r="C782" s="652" t="s">
        <v>1591</v>
      </c>
      <c r="D782" s="616" t="s">
        <v>539</v>
      </c>
      <c r="E782" s="616" t="s">
        <v>47</v>
      </c>
      <c r="F782" s="770">
        <v>10</v>
      </c>
      <c r="G782" s="771">
        <v>1600000</v>
      </c>
      <c r="H782" s="771">
        <f t="shared" si="84"/>
        <v>16000000</v>
      </c>
      <c r="I782" s="772">
        <v>10</v>
      </c>
      <c r="J782" s="773">
        <v>2600000</v>
      </c>
      <c r="K782" s="773">
        <f t="shared" si="80"/>
        <v>26000000</v>
      </c>
      <c r="L782" s="304">
        <f t="shared" si="81"/>
        <v>1000000</v>
      </c>
      <c r="M782" s="616" t="s">
        <v>1589</v>
      </c>
      <c r="N782" s="621" t="s">
        <v>1592</v>
      </c>
      <c r="O782" s="616"/>
      <c r="P782" s="403" t="s">
        <v>1585</v>
      </c>
      <c r="Q782" s="2342">
        <f t="shared" si="85"/>
        <v>1</v>
      </c>
      <c r="R782" s="2343">
        <f t="shared" si="86"/>
        <v>10</v>
      </c>
      <c r="S782" s="2344"/>
      <c r="T782" s="2344"/>
      <c r="U782" s="2344"/>
      <c r="V782" s="2344"/>
      <c r="W782" s="2345"/>
      <c r="X782" s="2346"/>
      <c r="Y782" s="2347"/>
      <c r="Z782" s="2344"/>
      <c r="AA782" s="2344"/>
      <c r="AB782" s="2344"/>
      <c r="AC782" s="2344"/>
      <c r="AD782" s="2344"/>
      <c r="AE782" s="2347"/>
    </row>
    <row r="783" spans="1:31" ht="18">
      <c r="A783" s="620">
        <v>571</v>
      </c>
      <c r="B783" s="620">
        <v>5</v>
      </c>
      <c r="C783" s="652" t="s">
        <v>1593</v>
      </c>
      <c r="D783" s="616" t="s">
        <v>539</v>
      </c>
      <c r="E783" s="616" t="s">
        <v>47</v>
      </c>
      <c r="F783" s="770">
        <v>10</v>
      </c>
      <c r="G783" s="771">
        <v>8400000</v>
      </c>
      <c r="H783" s="771">
        <f t="shared" si="84"/>
        <v>84000000</v>
      </c>
      <c r="I783" s="772">
        <v>10</v>
      </c>
      <c r="J783" s="773">
        <v>9000000</v>
      </c>
      <c r="K783" s="773">
        <f t="shared" si="80"/>
        <v>90000000</v>
      </c>
      <c r="L783" s="304">
        <f t="shared" si="81"/>
        <v>600000</v>
      </c>
      <c r="M783" s="616" t="s">
        <v>1589</v>
      </c>
      <c r="N783" s="774" t="s">
        <v>1594</v>
      </c>
      <c r="O783" s="616">
        <v>3</v>
      </c>
      <c r="P783" s="403" t="s">
        <v>1585</v>
      </c>
      <c r="Q783" s="2342">
        <f t="shared" si="85"/>
        <v>1</v>
      </c>
      <c r="R783" s="2343">
        <f t="shared" si="86"/>
        <v>10</v>
      </c>
      <c r="S783" s="2344"/>
      <c r="T783" s="2344"/>
      <c r="U783" s="2344"/>
      <c r="V783" s="2344"/>
      <c r="W783" s="2345"/>
      <c r="X783" s="2346"/>
      <c r="Y783" s="2347"/>
      <c r="Z783" s="2344"/>
      <c r="AA783" s="2344"/>
      <c r="AB783" s="2344"/>
      <c r="AC783" s="2344"/>
      <c r="AD783" s="2344"/>
      <c r="AE783" s="2347"/>
    </row>
    <row r="784" spans="1:31" ht="15">
      <c r="A784" s="620">
        <v>572</v>
      </c>
      <c r="B784" s="620">
        <v>6</v>
      </c>
      <c r="C784" s="652" t="s">
        <v>1595</v>
      </c>
      <c r="D784" s="616" t="s">
        <v>539</v>
      </c>
      <c r="E784" s="616" t="s">
        <v>47</v>
      </c>
      <c r="F784" s="770">
        <v>10</v>
      </c>
      <c r="G784" s="775">
        <v>2200000</v>
      </c>
      <c r="H784" s="771">
        <f t="shared" si="84"/>
        <v>22000000</v>
      </c>
      <c r="I784" s="772">
        <v>10</v>
      </c>
      <c r="J784" s="773">
        <v>2500000</v>
      </c>
      <c r="K784" s="773">
        <f t="shared" si="80"/>
        <v>25000000</v>
      </c>
      <c r="L784" s="304">
        <f t="shared" si="81"/>
        <v>300000</v>
      </c>
      <c r="M784" s="284" t="s">
        <v>1589</v>
      </c>
      <c r="N784" s="621" t="s">
        <v>1596</v>
      </c>
      <c r="O784" s="284">
        <v>3</v>
      </c>
      <c r="P784" s="403" t="s">
        <v>1585</v>
      </c>
      <c r="Q784" s="2342">
        <f t="shared" si="85"/>
        <v>1</v>
      </c>
      <c r="R784" s="2343">
        <f t="shared" si="86"/>
        <v>10</v>
      </c>
      <c r="S784" s="2344"/>
      <c r="T784" s="2344"/>
      <c r="U784" s="2344"/>
      <c r="V784" s="2344"/>
      <c r="W784" s="2345"/>
      <c r="X784" s="2346"/>
      <c r="Y784" s="2347"/>
      <c r="Z784" s="2344"/>
      <c r="AA784" s="2344"/>
      <c r="AB784" s="2344"/>
      <c r="AC784" s="2344"/>
      <c r="AD784" s="2344"/>
      <c r="AE784" s="2347"/>
    </row>
    <row r="785" spans="1:31" ht="18">
      <c r="A785" s="776">
        <v>573</v>
      </c>
      <c r="B785" s="776">
        <v>7</v>
      </c>
      <c r="C785" s="777" t="s">
        <v>1597</v>
      </c>
      <c r="D785" s="778" t="s">
        <v>539</v>
      </c>
      <c r="E785" s="778" t="s">
        <v>47</v>
      </c>
      <c r="F785" s="779">
        <v>10</v>
      </c>
      <c r="G785" s="780">
        <v>1850000</v>
      </c>
      <c r="H785" s="781">
        <f t="shared" si="84"/>
        <v>18500000</v>
      </c>
      <c r="I785" s="782">
        <v>10</v>
      </c>
      <c r="J785" s="783">
        <v>2850000</v>
      </c>
      <c r="K785" s="783">
        <f t="shared" si="80"/>
        <v>28500000</v>
      </c>
      <c r="L785" s="784">
        <f t="shared" si="81"/>
        <v>1000000</v>
      </c>
      <c r="M785" s="513" t="s">
        <v>1583</v>
      </c>
      <c r="N785" s="785" t="s">
        <v>1598</v>
      </c>
      <c r="O785" s="513">
        <v>3</v>
      </c>
      <c r="P785" s="786" t="s">
        <v>1585</v>
      </c>
      <c r="Q785" s="2348">
        <f t="shared" si="85"/>
        <v>1</v>
      </c>
      <c r="R785" s="2349">
        <f t="shared" si="86"/>
        <v>10</v>
      </c>
      <c r="S785" s="2350"/>
      <c r="T785" s="2350"/>
      <c r="U785" s="2350"/>
      <c r="V785" s="2350"/>
      <c r="W785" s="2351"/>
      <c r="X785" s="2352"/>
      <c r="Y785" s="2353"/>
      <c r="Z785" s="2350"/>
      <c r="AA785" s="2350"/>
      <c r="AB785" s="2350"/>
      <c r="AC785" s="2350"/>
      <c r="AD785" s="2350"/>
      <c r="AE785" s="2353"/>
    </row>
    <row r="786" spans="1:31">
      <c r="A786" s="2148"/>
      <c r="B786" s="2148"/>
      <c r="C786" s="2148"/>
      <c r="D786" s="2148"/>
      <c r="E786" s="2148"/>
      <c r="F786" s="2148"/>
      <c r="G786" s="2148"/>
      <c r="H786" s="2302">
        <f>SUM(H779:H785)</f>
        <v>628500000</v>
      </c>
      <c r="I786" s="248"/>
      <c r="J786" s="248"/>
      <c r="K786" s="787">
        <f>SUM(K779:K785)</f>
        <v>701000000</v>
      </c>
      <c r="L786" s="248"/>
      <c r="M786" s="247"/>
      <c r="N786" s="247"/>
      <c r="O786" s="247"/>
      <c r="P786" s="142"/>
      <c r="Q786" s="115"/>
    </row>
    <row r="787" spans="1:31">
      <c r="A787" s="2148" t="s">
        <v>1599</v>
      </c>
      <c r="B787" s="2148"/>
      <c r="C787" s="2148"/>
      <c r="D787" s="2148"/>
      <c r="E787" s="2148"/>
      <c r="F787" s="2148"/>
      <c r="G787" s="2148"/>
      <c r="H787" s="2148"/>
      <c r="I787" s="2148"/>
      <c r="J787" s="2148"/>
      <c r="K787" s="2148"/>
      <c r="L787" s="248"/>
      <c r="M787" s="247"/>
      <c r="N787" s="247"/>
      <c r="O787" s="247"/>
      <c r="P787" s="142"/>
      <c r="Q787" s="115"/>
    </row>
    <row r="788" spans="1:31">
      <c r="A788" s="788"/>
      <c r="B788" s="788"/>
      <c r="C788" s="788"/>
      <c r="D788" s="788"/>
      <c r="E788" s="788"/>
      <c r="F788" s="788"/>
      <c r="G788" s="788"/>
      <c r="H788" s="788"/>
      <c r="I788" s="788"/>
      <c r="J788" s="788"/>
      <c r="K788" s="788"/>
      <c r="L788" s="789"/>
      <c r="M788" s="790"/>
      <c r="N788" s="790"/>
      <c r="O788" s="790"/>
      <c r="P788" s="115"/>
      <c r="Q788" s="115"/>
    </row>
    <row r="789" spans="1:31">
      <c r="A789" s="788"/>
      <c r="B789" s="788"/>
      <c r="C789" s="788"/>
      <c r="D789" s="788"/>
      <c r="E789" s="788"/>
      <c r="F789" s="788"/>
      <c r="G789" s="788"/>
      <c r="H789" s="788"/>
      <c r="I789" s="788"/>
      <c r="J789" s="788"/>
      <c r="K789" s="788"/>
      <c r="L789" s="789"/>
      <c r="M789" s="790"/>
      <c r="N789" s="790"/>
      <c r="O789" s="790"/>
      <c r="P789" s="115"/>
      <c r="Q789" s="115"/>
    </row>
    <row r="791" spans="1:31">
      <c r="A791" s="71" t="s">
        <v>1600</v>
      </c>
    </row>
    <row r="792" spans="1:31" s="12" customFormat="1">
      <c r="A792" s="2092" t="s">
        <v>5</v>
      </c>
      <c r="B792" s="2092" t="s">
        <v>6</v>
      </c>
      <c r="C792" s="2094" t="s">
        <v>7</v>
      </c>
      <c r="D792" s="2096" t="s">
        <v>8</v>
      </c>
      <c r="E792" s="2092" t="s">
        <v>9</v>
      </c>
      <c r="F792" s="2098" t="s">
        <v>10</v>
      </c>
      <c r="G792" s="2098"/>
      <c r="H792" s="2098"/>
      <c r="I792" s="2098" t="s">
        <v>11</v>
      </c>
      <c r="J792" s="2098"/>
      <c r="K792" s="2098"/>
      <c r="L792" s="2099" t="s">
        <v>12</v>
      </c>
      <c r="M792" s="9"/>
      <c r="N792" s="9"/>
      <c r="O792" s="9"/>
      <c r="P792" s="2101" t="s">
        <v>13</v>
      </c>
      <c r="Q792" s="2265" t="s">
        <v>4740</v>
      </c>
      <c r="R792" s="2319" t="s">
        <v>4754</v>
      </c>
      <c r="S792" s="2267" t="s">
        <v>4767</v>
      </c>
      <c r="T792" s="2268"/>
      <c r="U792" s="2268"/>
      <c r="V792" s="2268"/>
      <c r="W792" s="2269"/>
      <c r="X792" s="2267" t="s">
        <v>4768</v>
      </c>
      <c r="Y792" s="2268"/>
      <c r="Z792" s="2268"/>
      <c r="AA792" s="2268"/>
      <c r="AB792" s="2268"/>
      <c r="AC792" s="2268"/>
      <c r="AD792" s="2268"/>
      <c r="AE792" s="2269"/>
    </row>
    <row r="793" spans="1:31" s="16" customFormat="1" ht="27">
      <c r="A793" s="2093"/>
      <c r="B793" s="2093"/>
      <c r="C793" s="2095"/>
      <c r="D793" s="2097"/>
      <c r="E793" s="2093"/>
      <c r="F793" s="13" t="s">
        <v>14</v>
      </c>
      <c r="G793" s="13" t="s">
        <v>15</v>
      </c>
      <c r="H793" s="13" t="s">
        <v>16</v>
      </c>
      <c r="I793" s="13" t="s">
        <v>14</v>
      </c>
      <c r="J793" s="13" t="s">
        <v>15</v>
      </c>
      <c r="K793" s="13" t="s">
        <v>16</v>
      </c>
      <c r="L793" s="2100"/>
      <c r="M793" s="14" t="s">
        <v>17</v>
      </c>
      <c r="N793" s="14" t="s">
        <v>18</v>
      </c>
      <c r="O793" s="14" t="s">
        <v>19</v>
      </c>
      <c r="P793" s="2102"/>
      <c r="Q793" s="2266"/>
      <c r="R793" s="2320"/>
      <c r="S793" s="2263" t="s">
        <v>4755</v>
      </c>
      <c r="T793" s="2263" t="s">
        <v>4756</v>
      </c>
      <c r="U793" s="2263" t="s">
        <v>4757</v>
      </c>
      <c r="V793" s="2263" t="s">
        <v>4758</v>
      </c>
      <c r="W793" s="2263" t="s">
        <v>4759</v>
      </c>
      <c r="X793" s="2264" t="s">
        <v>4760</v>
      </c>
      <c r="Y793" s="2264" t="s">
        <v>4761</v>
      </c>
      <c r="Z793" s="2264" t="s">
        <v>4762</v>
      </c>
      <c r="AA793" s="2264" t="s">
        <v>4763</v>
      </c>
      <c r="AB793" s="2264" t="s">
        <v>4764</v>
      </c>
      <c r="AC793" s="2264" t="s">
        <v>4765</v>
      </c>
      <c r="AD793" s="2264" t="s">
        <v>4766</v>
      </c>
      <c r="AE793" s="2264" t="s">
        <v>4755</v>
      </c>
    </row>
    <row r="794" spans="1:31" s="70" customFormat="1">
      <c r="A794" s="331">
        <v>1</v>
      </c>
      <c r="B794" s="331">
        <v>2</v>
      </c>
      <c r="C794" s="63">
        <v>3</v>
      </c>
      <c r="D794" s="331">
        <v>4</v>
      </c>
      <c r="E794" s="331">
        <v>5</v>
      </c>
      <c r="F794" s="57">
        <v>6</v>
      </c>
      <c r="G794" s="57">
        <v>7</v>
      </c>
      <c r="H794" s="331">
        <v>8</v>
      </c>
      <c r="I794" s="331">
        <v>9</v>
      </c>
      <c r="J794" s="331">
        <v>10</v>
      </c>
      <c r="K794" s="331">
        <v>11</v>
      </c>
      <c r="L794" s="331">
        <v>12</v>
      </c>
      <c r="M794" s="331">
        <v>9</v>
      </c>
      <c r="N794" s="331">
        <v>10</v>
      </c>
      <c r="O794" s="331">
        <v>11</v>
      </c>
      <c r="P794" s="331">
        <v>13</v>
      </c>
      <c r="Q794" s="332"/>
      <c r="R794" s="2321"/>
      <c r="S794" s="485"/>
    </row>
    <row r="795" spans="1:31" ht="18">
      <c r="A795" s="398">
        <v>574</v>
      </c>
      <c r="B795" s="791">
        <v>1</v>
      </c>
      <c r="C795" s="792" t="s">
        <v>1601</v>
      </c>
      <c r="D795" s="793" t="s">
        <v>214</v>
      </c>
      <c r="E795" s="793" t="s">
        <v>47</v>
      </c>
      <c r="F795" s="794">
        <v>100</v>
      </c>
      <c r="G795" s="795">
        <v>42950</v>
      </c>
      <c r="H795" s="796">
        <f t="shared" ref="H795:H800" si="87">G795*F795</f>
        <v>4295000</v>
      </c>
      <c r="I795" s="277">
        <v>100</v>
      </c>
      <c r="J795" s="278">
        <v>78000</v>
      </c>
      <c r="K795" s="278">
        <f t="shared" ref="K795:K800" si="88">I795*J795</f>
        <v>7800000</v>
      </c>
      <c r="L795" s="397">
        <f t="shared" ref="L795:L800" si="89">J795-G795</f>
        <v>35050</v>
      </c>
      <c r="M795" s="797" t="s">
        <v>1602</v>
      </c>
      <c r="N795" s="796" t="s">
        <v>1603</v>
      </c>
      <c r="O795" s="796">
        <v>1</v>
      </c>
      <c r="P795" s="400" t="s">
        <v>1604</v>
      </c>
      <c r="Q795" s="2337">
        <f t="shared" ref="Q795" si="90">R795/F795</f>
        <v>1</v>
      </c>
      <c r="R795" s="2332">
        <f t="shared" ref="R795" si="91">+F795-(S795+T795+U795+W795+X795+Y795+Z795+AA795+AB795+AC795+AD795+AE795)</f>
        <v>100</v>
      </c>
      <c r="S795" s="2338"/>
      <c r="T795" s="2338"/>
      <c r="U795" s="2338"/>
      <c r="V795" s="2338"/>
      <c r="W795" s="2339"/>
      <c r="X795" s="2340"/>
      <c r="Y795" s="2341"/>
      <c r="Z795" s="2338"/>
      <c r="AA795" s="2338"/>
      <c r="AB795" s="2338"/>
      <c r="AC795" s="2338"/>
      <c r="AD795" s="2338"/>
      <c r="AE795" s="2341"/>
    </row>
    <row r="796" spans="1:31" s="159" customFormat="1" ht="18">
      <c r="A796" s="293">
        <v>575</v>
      </c>
      <c r="B796" s="798">
        <v>2</v>
      </c>
      <c r="C796" s="799" t="s">
        <v>1605</v>
      </c>
      <c r="D796" s="800" t="s">
        <v>1208</v>
      </c>
      <c r="E796" s="800" t="s">
        <v>47</v>
      </c>
      <c r="F796" s="801">
        <v>200</v>
      </c>
      <c r="G796" s="802">
        <v>96000</v>
      </c>
      <c r="H796" s="803">
        <f t="shared" si="87"/>
        <v>19200000</v>
      </c>
      <c r="I796" s="295">
        <v>200</v>
      </c>
      <c r="J796" s="172">
        <v>136500</v>
      </c>
      <c r="K796" s="172">
        <f t="shared" si="88"/>
        <v>27300000</v>
      </c>
      <c r="L796" s="296">
        <f t="shared" si="89"/>
        <v>40500</v>
      </c>
      <c r="M796" s="804" t="s">
        <v>1602</v>
      </c>
      <c r="N796" s="803" t="s">
        <v>1606</v>
      </c>
      <c r="O796" s="803">
        <v>1</v>
      </c>
      <c r="P796" s="403" t="s">
        <v>1604</v>
      </c>
      <c r="Q796" s="2342">
        <f t="shared" ref="Q796:Q800" si="92">R796/F796</f>
        <v>1</v>
      </c>
      <c r="R796" s="2343">
        <f t="shared" ref="R796:R800" si="93">+F796-(S796+T796+U796+W796+X796+Y796+Z796+AA796+AB796+AC796+AD796+AE796)</f>
        <v>200</v>
      </c>
      <c r="S796" s="2344"/>
      <c r="T796" s="2344"/>
      <c r="U796" s="2344"/>
      <c r="V796" s="2344"/>
      <c r="W796" s="2345"/>
      <c r="X796" s="2346"/>
      <c r="Y796" s="2347"/>
      <c r="Z796" s="2344"/>
      <c r="AA796" s="2344"/>
      <c r="AB796" s="2344"/>
      <c r="AC796" s="2344"/>
      <c r="AD796" s="2344"/>
      <c r="AE796" s="2347"/>
    </row>
    <row r="797" spans="1:31" ht="18">
      <c r="A797" s="302">
        <v>576</v>
      </c>
      <c r="B797" s="805">
        <v>3</v>
      </c>
      <c r="C797" s="806" t="s">
        <v>1607</v>
      </c>
      <c r="D797" s="807" t="s">
        <v>214</v>
      </c>
      <c r="E797" s="807" t="s">
        <v>47</v>
      </c>
      <c r="F797" s="801">
        <v>300</v>
      </c>
      <c r="G797" s="802">
        <v>268000</v>
      </c>
      <c r="H797" s="803">
        <f t="shared" si="87"/>
        <v>80400000</v>
      </c>
      <c r="I797" s="287">
        <v>300</v>
      </c>
      <c r="J797" s="164">
        <v>308000</v>
      </c>
      <c r="K797" s="164">
        <f t="shared" si="88"/>
        <v>92400000</v>
      </c>
      <c r="L797" s="304">
        <f t="shared" si="89"/>
        <v>40000</v>
      </c>
      <c r="M797" s="804" t="s">
        <v>1602</v>
      </c>
      <c r="N797" s="803" t="s">
        <v>1608</v>
      </c>
      <c r="O797" s="803">
        <v>1</v>
      </c>
      <c r="P797" s="403" t="s">
        <v>1604</v>
      </c>
      <c r="Q797" s="2342">
        <f t="shared" si="92"/>
        <v>1</v>
      </c>
      <c r="R797" s="2343">
        <f t="shared" si="93"/>
        <v>300</v>
      </c>
      <c r="S797" s="2344"/>
      <c r="T797" s="2344"/>
      <c r="U797" s="2344"/>
      <c r="V797" s="2344"/>
      <c r="W797" s="2345"/>
      <c r="X797" s="2346"/>
      <c r="Y797" s="2347"/>
      <c r="Z797" s="2344"/>
      <c r="AA797" s="2344"/>
      <c r="AB797" s="2344"/>
      <c r="AC797" s="2344"/>
      <c r="AD797" s="2344"/>
      <c r="AE797" s="2347"/>
    </row>
    <row r="798" spans="1:31" ht="15">
      <c r="A798" s="302">
        <v>577</v>
      </c>
      <c r="B798" s="805">
        <v>4</v>
      </c>
      <c r="C798" s="806" t="s">
        <v>1609</v>
      </c>
      <c r="D798" s="807" t="s">
        <v>653</v>
      </c>
      <c r="E798" s="807" t="s">
        <v>47</v>
      </c>
      <c r="F798" s="801">
        <v>20</v>
      </c>
      <c r="G798" s="802">
        <v>5295000</v>
      </c>
      <c r="H798" s="803">
        <f t="shared" si="87"/>
        <v>105900000</v>
      </c>
      <c r="I798" s="287">
        <v>20</v>
      </c>
      <c r="J798" s="164">
        <v>5500000</v>
      </c>
      <c r="K798" s="164">
        <f t="shared" si="88"/>
        <v>110000000</v>
      </c>
      <c r="L798" s="304">
        <f t="shared" si="89"/>
        <v>205000</v>
      </c>
      <c r="M798" s="803" t="s">
        <v>1610</v>
      </c>
      <c r="N798" s="803" t="s">
        <v>1611</v>
      </c>
      <c r="O798" s="803">
        <v>1</v>
      </c>
      <c r="P798" s="403" t="s">
        <v>1604</v>
      </c>
      <c r="Q798" s="2342">
        <f t="shared" si="92"/>
        <v>1</v>
      </c>
      <c r="R798" s="2343">
        <f t="shared" si="93"/>
        <v>20</v>
      </c>
      <c r="S798" s="2344"/>
      <c r="T798" s="2344"/>
      <c r="U798" s="2344"/>
      <c r="V798" s="2344"/>
      <c r="W798" s="2345"/>
      <c r="X798" s="2346"/>
      <c r="Y798" s="2347"/>
      <c r="Z798" s="2344"/>
      <c r="AA798" s="2344"/>
      <c r="AB798" s="2344"/>
      <c r="AC798" s="2344"/>
      <c r="AD798" s="2344"/>
      <c r="AE798" s="2347"/>
    </row>
    <row r="799" spans="1:31" s="159" customFormat="1" ht="18">
      <c r="A799" s="293">
        <v>578</v>
      </c>
      <c r="B799" s="798">
        <v>5</v>
      </c>
      <c r="C799" s="799" t="s">
        <v>1612</v>
      </c>
      <c r="D799" s="800" t="s">
        <v>214</v>
      </c>
      <c r="E799" s="800" t="s">
        <v>47</v>
      </c>
      <c r="F799" s="801">
        <v>100</v>
      </c>
      <c r="G799" s="802">
        <v>76000</v>
      </c>
      <c r="H799" s="803">
        <f t="shared" si="87"/>
        <v>7600000</v>
      </c>
      <c r="I799" s="295">
        <v>100</v>
      </c>
      <c r="J799" s="172">
        <v>82500</v>
      </c>
      <c r="K799" s="172">
        <f t="shared" si="88"/>
        <v>8250000</v>
      </c>
      <c r="L799" s="296">
        <f t="shared" si="89"/>
        <v>6500</v>
      </c>
      <c r="M799" s="808" t="s">
        <v>1613</v>
      </c>
      <c r="N799" s="803" t="s">
        <v>1614</v>
      </c>
      <c r="O799" s="803">
        <v>1</v>
      </c>
      <c r="P799" s="403" t="s">
        <v>1604</v>
      </c>
      <c r="Q799" s="2342">
        <f t="shared" si="92"/>
        <v>1</v>
      </c>
      <c r="R799" s="2343">
        <f t="shared" si="93"/>
        <v>100</v>
      </c>
      <c r="S799" s="2344"/>
      <c r="T799" s="2344"/>
      <c r="U799" s="2344"/>
      <c r="V799" s="2344"/>
      <c r="W799" s="2345"/>
      <c r="X799" s="2346"/>
      <c r="Y799" s="2347"/>
      <c r="Z799" s="2344"/>
      <c r="AA799" s="2344"/>
      <c r="AB799" s="2344"/>
      <c r="AC799" s="2344"/>
      <c r="AD799" s="2344"/>
      <c r="AE799" s="2347"/>
    </row>
    <row r="800" spans="1:31" ht="15">
      <c r="A800" s="809">
        <v>579</v>
      </c>
      <c r="B800" s="810">
        <v>6</v>
      </c>
      <c r="C800" s="811" t="s">
        <v>1615</v>
      </c>
      <c r="D800" s="812" t="s">
        <v>1339</v>
      </c>
      <c r="E800" s="812" t="s">
        <v>47</v>
      </c>
      <c r="F800" s="813">
        <v>150</v>
      </c>
      <c r="G800" s="814">
        <v>2268000</v>
      </c>
      <c r="H800" s="815">
        <f t="shared" si="87"/>
        <v>340200000</v>
      </c>
      <c r="I800" s="816">
        <v>150</v>
      </c>
      <c r="J800" s="175">
        <v>2659000</v>
      </c>
      <c r="K800" s="175">
        <f t="shared" si="88"/>
        <v>398850000</v>
      </c>
      <c r="L800" s="784">
        <f t="shared" si="89"/>
        <v>391000</v>
      </c>
      <c r="M800" s="817" t="s">
        <v>1616</v>
      </c>
      <c r="N800" s="815" t="s">
        <v>1617</v>
      </c>
      <c r="O800" s="815">
        <v>1</v>
      </c>
      <c r="P800" s="786" t="s">
        <v>1604</v>
      </c>
      <c r="Q800" s="2348">
        <f t="shared" si="92"/>
        <v>1</v>
      </c>
      <c r="R800" s="2349">
        <f t="shared" si="93"/>
        <v>150</v>
      </c>
      <c r="S800" s="2350"/>
      <c r="T800" s="2350"/>
      <c r="U800" s="2350"/>
      <c r="V800" s="2350"/>
      <c r="W800" s="2351"/>
      <c r="X800" s="2352"/>
      <c r="Y800" s="2353"/>
      <c r="Z800" s="2350"/>
      <c r="AA800" s="2350"/>
      <c r="AB800" s="2350"/>
      <c r="AC800" s="2350"/>
      <c r="AD800" s="2350"/>
      <c r="AE800" s="2353"/>
    </row>
    <row r="801" spans="1:31">
      <c r="A801" s="2148" t="s">
        <v>1618</v>
      </c>
      <c r="B801" s="2148"/>
      <c r="C801" s="2148"/>
      <c r="D801" s="2148"/>
      <c r="E801" s="2148"/>
      <c r="F801" s="2148"/>
      <c r="G801" s="2148"/>
      <c r="H801" s="2303">
        <f>SUM(H795:H800)</f>
        <v>557595000</v>
      </c>
      <c r="I801" s="248"/>
      <c r="J801" s="248"/>
      <c r="K801" s="818">
        <f>SUM(K795:K800)</f>
        <v>644600000</v>
      </c>
      <c r="L801" s="248"/>
      <c r="M801" s="247"/>
      <c r="N801" s="819"/>
      <c r="O801" s="820"/>
      <c r="P801" s="142"/>
      <c r="Q801" s="115"/>
    </row>
    <row r="802" spans="1:31">
      <c r="A802" s="788"/>
      <c r="B802" s="788"/>
      <c r="C802" s="788" t="s">
        <v>1619</v>
      </c>
      <c r="D802" s="788"/>
      <c r="E802" s="788"/>
      <c r="F802" s="788"/>
      <c r="G802" s="788"/>
      <c r="H802" s="821"/>
      <c r="I802" s="789"/>
      <c r="J802" s="789"/>
      <c r="K802" s="821"/>
      <c r="L802" s="789"/>
      <c r="M802" s="790"/>
      <c r="N802" s="822"/>
      <c r="O802" s="823"/>
      <c r="P802" s="115"/>
      <c r="Q802" s="115"/>
    </row>
    <row r="803" spans="1:31">
      <c r="A803" s="788"/>
      <c r="B803" s="788"/>
      <c r="C803" s="788"/>
      <c r="D803" s="788"/>
      <c r="E803" s="788"/>
      <c r="F803" s="788"/>
      <c r="G803" s="788"/>
      <c r="H803" s="821"/>
      <c r="I803" s="789"/>
      <c r="J803" s="789"/>
      <c r="K803" s="821"/>
      <c r="L803" s="789"/>
      <c r="M803" s="790"/>
      <c r="N803" s="822"/>
      <c r="O803" s="823"/>
      <c r="P803" s="115"/>
      <c r="Q803" s="115"/>
    </row>
    <row r="804" spans="1:31">
      <c r="A804" s="788"/>
      <c r="B804" s="788"/>
      <c r="C804" s="788"/>
      <c r="D804" s="788"/>
      <c r="E804" s="788"/>
      <c r="F804" s="788"/>
      <c r="G804" s="788"/>
      <c r="H804" s="821"/>
      <c r="I804" s="789"/>
      <c r="J804" s="789"/>
      <c r="K804" s="821"/>
      <c r="L804" s="789"/>
      <c r="M804" s="790"/>
      <c r="N804" s="822"/>
      <c r="O804" s="823"/>
      <c r="P804" s="115"/>
      <c r="Q804" s="115"/>
    </row>
    <row r="805" spans="1:31">
      <c r="A805" s="790"/>
      <c r="B805" s="790"/>
      <c r="C805" s="824"/>
      <c r="D805" s="790"/>
      <c r="E805" s="790"/>
      <c r="F805" s="825"/>
      <c r="G805" s="821"/>
      <c r="H805" s="821"/>
      <c r="I805" s="790"/>
      <c r="J805" s="822"/>
      <c r="K805" s="823"/>
    </row>
    <row r="806" spans="1:31">
      <c r="A806" s="71" t="s">
        <v>1620</v>
      </c>
    </row>
    <row r="808" spans="1:31" s="12" customFormat="1">
      <c r="A808" s="2092" t="s">
        <v>5</v>
      </c>
      <c r="B808" s="2092" t="s">
        <v>6</v>
      </c>
      <c r="C808" s="2094" t="s">
        <v>7</v>
      </c>
      <c r="D808" s="2096" t="s">
        <v>8</v>
      </c>
      <c r="E808" s="2092" t="s">
        <v>9</v>
      </c>
      <c r="F808" s="2098" t="s">
        <v>10</v>
      </c>
      <c r="G808" s="2098"/>
      <c r="H808" s="2098"/>
      <c r="I808" s="2098" t="s">
        <v>11</v>
      </c>
      <c r="J808" s="2098"/>
      <c r="K808" s="2098"/>
      <c r="L808" s="2099" t="s">
        <v>12</v>
      </c>
      <c r="M808" s="9"/>
      <c r="N808" s="9"/>
      <c r="O808" s="9"/>
      <c r="P808" s="2101" t="s">
        <v>13</v>
      </c>
      <c r="Q808" s="2265" t="s">
        <v>4740</v>
      </c>
      <c r="R808" s="2319" t="s">
        <v>4754</v>
      </c>
      <c r="S808" s="2267" t="s">
        <v>4767</v>
      </c>
      <c r="T808" s="2268"/>
      <c r="U808" s="2268"/>
      <c r="V808" s="2268"/>
      <c r="W808" s="2269"/>
      <c r="X808" s="2267" t="s">
        <v>4768</v>
      </c>
      <c r="Y808" s="2268"/>
      <c r="Z808" s="2268"/>
      <c r="AA808" s="2268"/>
      <c r="AB808" s="2268"/>
      <c r="AC808" s="2268"/>
      <c r="AD808" s="2268"/>
      <c r="AE808" s="2269"/>
    </row>
    <row r="809" spans="1:31" s="16" customFormat="1" ht="27">
      <c r="A809" s="2093"/>
      <c r="B809" s="2093"/>
      <c r="C809" s="2095"/>
      <c r="D809" s="2097"/>
      <c r="E809" s="2093"/>
      <c r="F809" s="13" t="s">
        <v>14</v>
      </c>
      <c r="G809" s="13" t="s">
        <v>15</v>
      </c>
      <c r="H809" s="13" t="s">
        <v>16</v>
      </c>
      <c r="I809" s="13" t="s">
        <v>14</v>
      </c>
      <c r="J809" s="13" t="s">
        <v>15</v>
      </c>
      <c r="K809" s="13" t="s">
        <v>16</v>
      </c>
      <c r="L809" s="2100"/>
      <c r="M809" s="14" t="s">
        <v>17</v>
      </c>
      <c r="N809" s="14" t="s">
        <v>18</v>
      </c>
      <c r="O809" s="14" t="s">
        <v>19</v>
      </c>
      <c r="P809" s="2102"/>
      <c r="Q809" s="2266"/>
      <c r="R809" s="2320"/>
      <c r="S809" s="2263" t="s">
        <v>4755</v>
      </c>
      <c r="T809" s="2263" t="s">
        <v>4756</v>
      </c>
      <c r="U809" s="2263" t="s">
        <v>4757</v>
      </c>
      <c r="V809" s="2263" t="s">
        <v>4758</v>
      </c>
      <c r="W809" s="2263" t="s">
        <v>4759</v>
      </c>
      <c r="X809" s="2264" t="s">
        <v>4760</v>
      </c>
      <c r="Y809" s="2264" t="s">
        <v>4761</v>
      </c>
      <c r="Z809" s="2264" t="s">
        <v>4762</v>
      </c>
      <c r="AA809" s="2264" t="s">
        <v>4763</v>
      </c>
      <c r="AB809" s="2264" t="s">
        <v>4764</v>
      </c>
      <c r="AC809" s="2264" t="s">
        <v>4765</v>
      </c>
      <c r="AD809" s="2264" t="s">
        <v>4766</v>
      </c>
      <c r="AE809" s="2264" t="s">
        <v>4755</v>
      </c>
    </row>
    <row r="810" spans="1:31" s="70" customFormat="1">
      <c r="A810" s="331">
        <v>1</v>
      </c>
      <c r="B810" s="331">
        <v>2</v>
      </c>
      <c r="C810" s="63">
        <v>3</v>
      </c>
      <c r="D810" s="331">
        <v>4</v>
      </c>
      <c r="E810" s="331">
        <v>5</v>
      </c>
      <c r="F810" s="57">
        <v>6</v>
      </c>
      <c r="G810" s="57">
        <v>7</v>
      </c>
      <c r="H810" s="331">
        <v>8</v>
      </c>
      <c r="I810" s="331">
        <v>9</v>
      </c>
      <c r="J810" s="331">
        <v>10</v>
      </c>
      <c r="K810" s="331">
        <v>11</v>
      </c>
      <c r="L810" s="331">
        <v>12</v>
      </c>
      <c r="M810" s="331">
        <v>9</v>
      </c>
      <c r="N810" s="331">
        <v>10</v>
      </c>
      <c r="O810" s="331">
        <v>11</v>
      </c>
      <c r="P810" s="331">
        <v>13</v>
      </c>
      <c r="Q810" s="332"/>
      <c r="R810" s="2321"/>
      <c r="S810" s="485"/>
    </row>
    <row r="811" spans="1:31" ht="15">
      <c r="A811" s="611"/>
      <c r="B811" s="611"/>
      <c r="C811" s="826" t="s">
        <v>1620</v>
      </c>
      <c r="D811" s="611"/>
      <c r="E811" s="611"/>
      <c r="F811" s="611"/>
      <c r="G811" s="827"/>
      <c r="H811" s="607"/>
      <c r="I811" s="828"/>
      <c r="J811" s="828"/>
      <c r="K811" s="828"/>
      <c r="L811" s="828"/>
      <c r="M811" s="611"/>
      <c r="N811" s="611"/>
      <c r="O811" s="611"/>
      <c r="P811" s="400"/>
      <c r="Q811" s="2337"/>
      <c r="R811" s="2332"/>
      <c r="S811" s="2338"/>
      <c r="T811" s="2338"/>
      <c r="U811" s="2338"/>
      <c r="V811" s="2338"/>
      <c r="W811" s="2339"/>
      <c r="X811" s="2340"/>
      <c r="Y811" s="2341"/>
      <c r="Z811" s="2338"/>
      <c r="AA811" s="2338"/>
      <c r="AB811" s="2338"/>
      <c r="AC811" s="2338"/>
      <c r="AD811" s="2338"/>
      <c r="AE811" s="2341"/>
    </row>
    <row r="812" spans="1:31" ht="15">
      <c r="A812" s="282">
        <v>580</v>
      </c>
      <c r="B812" s="282">
        <v>1</v>
      </c>
      <c r="C812" s="283" t="s">
        <v>1621</v>
      </c>
      <c r="D812" s="282" t="s">
        <v>182</v>
      </c>
      <c r="E812" s="282" t="s">
        <v>47</v>
      </c>
      <c r="F812" s="612">
        <v>20</v>
      </c>
      <c r="G812" s="613">
        <f>18000*1.1</f>
        <v>19800</v>
      </c>
      <c r="H812" s="614">
        <f t="shared" ref="H812:H846" si="94">+G812*F812</f>
        <v>396000</v>
      </c>
      <c r="I812" s="829">
        <v>20</v>
      </c>
      <c r="J812" s="830">
        <v>22000</v>
      </c>
      <c r="K812" s="164">
        <f>I812*J812</f>
        <v>440000</v>
      </c>
      <c r="L812" s="304">
        <f t="shared" ref="L812:L846" si="95">J812-G812</f>
        <v>2200</v>
      </c>
      <c r="M812" s="831" t="s">
        <v>1622</v>
      </c>
      <c r="N812" s="832" t="s">
        <v>1623</v>
      </c>
      <c r="O812" s="617"/>
      <c r="P812" s="403" t="s">
        <v>50</v>
      </c>
      <c r="Q812" s="2337">
        <f t="shared" ref="Q812:Q846" si="96">R812/F812</f>
        <v>1</v>
      </c>
      <c r="R812" s="2332">
        <f t="shared" ref="R812:R846" si="97">+F812-(S812+T812+U812+W812+X812+Y812+Z812+AA812+AB812+AC812+AD812+AE812)</f>
        <v>20</v>
      </c>
      <c r="S812" s="2338"/>
      <c r="T812" s="2338"/>
      <c r="U812" s="2338"/>
      <c r="V812" s="2338"/>
      <c r="W812" s="2339"/>
      <c r="X812" s="2340"/>
      <c r="Y812" s="2341"/>
      <c r="Z812" s="2338"/>
      <c r="AA812" s="2338"/>
      <c r="AB812" s="2338"/>
      <c r="AC812" s="2338"/>
      <c r="AD812" s="2338"/>
      <c r="AE812" s="2341"/>
    </row>
    <row r="813" spans="1:31" ht="15">
      <c r="A813" s="282">
        <v>581</v>
      </c>
      <c r="B813" s="282">
        <v>2</v>
      </c>
      <c r="C813" s="283" t="s">
        <v>1624</v>
      </c>
      <c r="D813" s="282" t="s">
        <v>182</v>
      </c>
      <c r="E813" s="282" t="s">
        <v>47</v>
      </c>
      <c r="F813" s="612">
        <v>20</v>
      </c>
      <c r="G813" s="613">
        <f>19000*1.1</f>
        <v>20900</v>
      </c>
      <c r="H813" s="614">
        <f t="shared" si="94"/>
        <v>418000</v>
      </c>
      <c r="I813" s="829">
        <v>20</v>
      </c>
      <c r="J813" s="830">
        <v>22000</v>
      </c>
      <c r="K813" s="164">
        <f t="shared" ref="K813:K846" si="98">I813*J813</f>
        <v>440000</v>
      </c>
      <c r="L813" s="304">
        <f t="shared" si="95"/>
        <v>1100</v>
      </c>
      <c r="M813" s="615" t="s">
        <v>1622</v>
      </c>
      <c r="N813" s="832" t="s">
        <v>1623</v>
      </c>
      <c r="O813" s="617"/>
      <c r="P813" s="403" t="s">
        <v>50</v>
      </c>
      <c r="Q813" s="2342">
        <f t="shared" si="96"/>
        <v>1</v>
      </c>
      <c r="R813" s="2343">
        <f t="shared" si="97"/>
        <v>20</v>
      </c>
      <c r="S813" s="2344"/>
      <c r="T813" s="2344"/>
      <c r="U813" s="2344"/>
      <c r="V813" s="2344"/>
      <c r="W813" s="2345"/>
      <c r="X813" s="2346"/>
      <c r="Y813" s="2347"/>
      <c r="Z813" s="2344"/>
      <c r="AA813" s="2344"/>
      <c r="AB813" s="2344"/>
      <c r="AC813" s="2344"/>
      <c r="AD813" s="2344"/>
      <c r="AE813" s="2347"/>
    </row>
    <row r="814" spans="1:31" ht="15">
      <c r="A814" s="282">
        <v>582</v>
      </c>
      <c r="B814" s="282">
        <v>3</v>
      </c>
      <c r="C814" s="283" t="s">
        <v>1625</v>
      </c>
      <c r="D814" s="282" t="s">
        <v>182</v>
      </c>
      <c r="E814" s="282" t="s">
        <v>47</v>
      </c>
      <c r="F814" s="612">
        <v>20</v>
      </c>
      <c r="G814" s="613">
        <f>25400*1.1</f>
        <v>27940.000000000004</v>
      </c>
      <c r="H814" s="614">
        <f t="shared" si="94"/>
        <v>558800.00000000012</v>
      </c>
      <c r="I814" s="829">
        <v>20</v>
      </c>
      <c r="J814" s="830">
        <v>30000</v>
      </c>
      <c r="K814" s="164">
        <f t="shared" si="98"/>
        <v>600000</v>
      </c>
      <c r="L814" s="304">
        <f t="shared" si="95"/>
        <v>2059.9999999999964</v>
      </c>
      <c r="M814" s="615" t="s">
        <v>1622</v>
      </c>
      <c r="N814" s="832" t="s">
        <v>1626</v>
      </c>
      <c r="O814" s="617"/>
      <c r="P814" s="403" t="s">
        <v>50</v>
      </c>
      <c r="Q814" s="2342">
        <f t="shared" si="96"/>
        <v>1</v>
      </c>
      <c r="R814" s="2343">
        <f t="shared" si="97"/>
        <v>20</v>
      </c>
      <c r="S814" s="2344"/>
      <c r="T814" s="2344"/>
      <c r="U814" s="2344"/>
      <c r="V814" s="2344"/>
      <c r="W814" s="2345"/>
      <c r="X814" s="2346"/>
      <c r="Y814" s="2347"/>
      <c r="Z814" s="2344"/>
      <c r="AA814" s="2344"/>
      <c r="AB814" s="2344"/>
      <c r="AC814" s="2344"/>
      <c r="AD814" s="2344"/>
      <c r="AE814" s="2347"/>
    </row>
    <row r="815" spans="1:31" ht="15">
      <c r="A815" s="282">
        <v>583</v>
      </c>
      <c r="B815" s="282">
        <v>4</v>
      </c>
      <c r="C815" s="283" t="s">
        <v>1627</v>
      </c>
      <c r="D815" s="282" t="s">
        <v>1628</v>
      </c>
      <c r="E815" s="282" t="s">
        <v>47</v>
      </c>
      <c r="F815" s="612">
        <v>20</v>
      </c>
      <c r="G815" s="613">
        <f>36300*1.1</f>
        <v>39930</v>
      </c>
      <c r="H815" s="614">
        <f t="shared" si="94"/>
        <v>798600</v>
      </c>
      <c r="I815" s="829">
        <v>20</v>
      </c>
      <c r="J815" s="830">
        <v>42000</v>
      </c>
      <c r="K815" s="164">
        <f t="shared" si="98"/>
        <v>840000</v>
      </c>
      <c r="L815" s="304">
        <f t="shared" si="95"/>
        <v>2070</v>
      </c>
      <c r="M815" s="615" t="s">
        <v>1622</v>
      </c>
      <c r="N815" s="832" t="s">
        <v>1629</v>
      </c>
      <c r="O815" s="617"/>
      <c r="P815" s="403" t="s">
        <v>50</v>
      </c>
      <c r="Q815" s="2342">
        <f t="shared" si="96"/>
        <v>1</v>
      </c>
      <c r="R815" s="2343">
        <f t="shared" si="97"/>
        <v>20</v>
      </c>
      <c r="S815" s="2344"/>
      <c r="T815" s="2344"/>
      <c r="U815" s="2344"/>
      <c r="V815" s="2344"/>
      <c r="W815" s="2345"/>
      <c r="X815" s="2346"/>
      <c r="Y815" s="2347"/>
      <c r="Z815" s="2344"/>
      <c r="AA815" s="2344"/>
      <c r="AB815" s="2344"/>
      <c r="AC815" s="2344"/>
      <c r="AD815" s="2344"/>
      <c r="AE815" s="2347"/>
    </row>
    <row r="816" spans="1:31" ht="15">
      <c r="A816" s="282">
        <v>584</v>
      </c>
      <c r="B816" s="282">
        <v>5</v>
      </c>
      <c r="C816" s="283" t="s">
        <v>1630</v>
      </c>
      <c r="D816" s="282" t="s">
        <v>75</v>
      </c>
      <c r="E816" s="282" t="s">
        <v>47</v>
      </c>
      <c r="F816" s="612">
        <v>10</v>
      </c>
      <c r="G816" s="613">
        <f>21800*1.1</f>
        <v>23980.000000000004</v>
      </c>
      <c r="H816" s="614">
        <f t="shared" si="94"/>
        <v>239800.00000000003</v>
      </c>
      <c r="I816" s="829">
        <v>10</v>
      </c>
      <c r="J816" s="830">
        <v>25000</v>
      </c>
      <c r="K816" s="164">
        <f t="shared" si="98"/>
        <v>250000</v>
      </c>
      <c r="L816" s="304">
        <f t="shared" si="95"/>
        <v>1019.9999999999964</v>
      </c>
      <c r="M816" s="615" t="s">
        <v>261</v>
      </c>
      <c r="N816" s="832" t="s">
        <v>1630</v>
      </c>
      <c r="O816" s="617"/>
      <c r="P816" s="403" t="s">
        <v>50</v>
      </c>
      <c r="Q816" s="2342">
        <f t="shared" si="96"/>
        <v>1</v>
      </c>
      <c r="R816" s="2343">
        <f t="shared" si="97"/>
        <v>10</v>
      </c>
      <c r="S816" s="2344"/>
      <c r="T816" s="2344"/>
      <c r="U816" s="2344"/>
      <c r="V816" s="2344"/>
      <c r="W816" s="2345"/>
      <c r="X816" s="2346"/>
      <c r="Y816" s="2347"/>
      <c r="Z816" s="2344"/>
      <c r="AA816" s="2344"/>
      <c r="AB816" s="2344"/>
      <c r="AC816" s="2344"/>
      <c r="AD816" s="2344"/>
      <c r="AE816" s="2347"/>
    </row>
    <row r="817" spans="1:31" ht="15">
      <c r="A817" s="282">
        <v>585</v>
      </c>
      <c r="B817" s="282">
        <v>6</v>
      </c>
      <c r="C817" s="283" t="s">
        <v>1124</v>
      </c>
      <c r="D817" s="282" t="s">
        <v>1631</v>
      </c>
      <c r="E817" s="282" t="s">
        <v>47</v>
      </c>
      <c r="F817" s="612">
        <v>50</v>
      </c>
      <c r="G817" s="613">
        <f>13600*1.1</f>
        <v>14960.000000000002</v>
      </c>
      <c r="H817" s="614">
        <f t="shared" si="94"/>
        <v>748000.00000000012</v>
      </c>
      <c r="I817" s="829">
        <v>50</v>
      </c>
      <c r="J817" s="830">
        <v>16000</v>
      </c>
      <c r="K817" s="164">
        <f t="shared" si="98"/>
        <v>800000</v>
      </c>
      <c r="L817" s="304">
        <f t="shared" si="95"/>
        <v>1039.9999999999982</v>
      </c>
      <c r="M817" s="615" t="s">
        <v>261</v>
      </c>
      <c r="N817" s="832" t="s">
        <v>1632</v>
      </c>
      <c r="O817" s="617"/>
      <c r="P817" s="403" t="s">
        <v>50</v>
      </c>
      <c r="Q817" s="2342">
        <f t="shared" si="96"/>
        <v>1</v>
      </c>
      <c r="R817" s="2343">
        <f t="shared" si="97"/>
        <v>50</v>
      </c>
      <c r="S817" s="2344"/>
      <c r="T817" s="2344"/>
      <c r="U817" s="2344"/>
      <c r="V817" s="2344"/>
      <c r="W817" s="2345"/>
      <c r="X817" s="2346"/>
      <c r="Y817" s="2347"/>
      <c r="Z817" s="2344"/>
      <c r="AA817" s="2344"/>
      <c r="AB817" s="2344"/>
      <c r="AC817" s="2344"/>
      <c r="AD817" s="2344"/>
      <c r="AE817" s="2347"/>
    </row>
    <row r="818" spans="1:31" ht="15">
      <c r="A818" s="282">
        <v>586</v>
      </c>
      <c r="B818" s="282">
        <v>7</v>
      </c>
      <c r="C818" s="283" t="s">
        <v>1633</v>
      </c>
      <c r="D818" s="282" t="s">
        <v>60</v>
      </c>
      <c r="E818" s="282" t="s">
        <v>47</v>
      </c>
      <c r="F818" s="612">
        <v>20</v>
      </c>
      <c r="G818" s="613">
        <f>59000*1.05</f>
        <v>61950</v>
      </c>
      <c r="H818" s="614">
        <f t="shared" si="94"/>
        <v>1239000</v>
      </c>
      <c r="I818" s="829">
        <v>20</v>
      </c>
      <c r="J818" s="830">
        <v>64000</v>
      </c>
      <c r="K818" s="164">
        <f t="shared" si="98"/>
        <v>1280000</v>
      </c>
      <c r="L818" s="304">
        <f t="shared" si="95"/>
        <v>2050</v>
      </c>
      <c r="M818" s="615" t="s">
        <v>613</v>
      </c>
      <c r="N818" s="832" t="s">
        <v>1634</v>
      </c>
      <c r="O818" s="617"/>
      <c r="P818" s="403" t="s">
        <v>50</v>
      </c>
      <c r="Q818" s="2342">
        <f t="shared" si="96"/>
        <v>1</v>
      </c>
      <c r="R818" s="2343">
        <f t="shared" si="97"/>
        <v>20</v>
      </c>
      <c r="S818" s="2344"/>
      <c r="T818" s="2344"/>
      <c r="U818" s="2344"/>
      <c r="V818" s="2344"/>
      <c r="W818" s="2345"/>
      <c r="X818" s="2346"/>
      <c r="Y818" s="2347"/>
      <c r="Z818" s="2344"/>
      <c r="AA818" s="2344"/>
      <c r="AB818" s="2344"/>
      <c r="AC818" s="2344"/>
      <c r="AD818" s="2344"/>
      <c r="AE818" s="2347"/>
    </row>
    <row r="819" spans="1:31" ht="15">
      <c r="A819" s="282">
        <v>587</v>
      </c>
      <c r="B819" s="282">
        <v>8</v>
      </c>
      <c r="C819" s="283" t="s">
        <v>1635</v>
      </c>
      <c r="D819" s="282" t="s">
        <v>60</v>
      </c>
      <c r="E819" s="282" t="s">
        <v>47</v>
      </c>
      <c r="F819" s="612">
        <v>2</v>
      </c>
      <c r="G819" s="613">
        <f>416000*1.1</f>
        <v>457600.00000000006</v>
      </c>
      <c r="H819" s="614">
        <f t="shared" si="94"/>
        <v>915200.00000000012</v>
      </c>
      <c r="I819" s="829">
        <v>2</v>
      </c>
      <c r="J819" s="830">
        <v>464000</v>
      </c>
      <c r="K819" s="164">
        <f t="shared" si="98"/>
        <v>928000</v>
      </c>
      <c r="L819" s="304">
        <f t="shared" si="95"/>
        <v>6399.9999999999418</v>
      </c>
      <c r="M819" s="615" t="s">
        <v>622</v>
      </c>
      <c r="N819" s="832" t="s">
        <v>1636</v>
      </c>
      <c r="O819" s="617"/>
      <c r="P819" s="403" t="s">
        <v>50</v>
      </c>
      <c r="Q819" s="2342">
        <f t="shared" si="96"/>
        <v>1</v>
      </c>
      <c r="R819" s="2343">
        <f t="shared" si="97"/>
        <v>2</v>
      </c>
      <c r="S819" s="2344"/>
      <c r="T819" s="2344"/>
      <c r="U819" s="2344"/>
      <c r="V819" s="2344"/>
      <c r="W819" s="2345"/>
      <c r="X819" s="2346"/>
      <c r="Y819" s="2347"/>
      <c r="Z819" s="2344"/>
      <c r="AA819" s="2344"/>
      <c r="AB819" s="2344"/>
      <c r="AC819" s="2344"/>
      <c r="AD819" s="2344"/>
      <c r="AE819" s="2347"/>
    </row>
    <row r="820" spans="1:31" ht="15">
      <c r="A820" s="282">
        <v>588</v>
      </c>
      <c r="B820" s="282">
        <v>9</v>
      </c>
      <c r="C820" s="283" t="s">
        <v>1637</v>
      </c>
      <c r="D820" s="282" t="s">
        <v>60</v>
      </c>
      <c r="E820" s="282" t="s">
        <v>47</v>
      </c>
      <c r="F820" s="612">
        <v>5</v>
      </c>
      <c r="G820" s="613">
        <f>145000*1.1</f>
        <v>159500</v>
      </c>
      <c r="H820" s="614">
        <f t="shared" si="94"/>
        <v>797500</v>
      </c>
      <c r="I820" s="829">
        <v>5</v>
      </c>
      <c r="J820" s="830">
        <v>162000</v>
      </c>
      <c r="K820" s="164">
        <f t="shared" si="98"/>
        <v>810000</v>
      </c>
      <c r="L820" s="304">
        <f t="shared" si="95"/>
        <v>2500</v>
      </c>
      <c r="M820" s="615" t="s">
        <v>1638</v>
      </c>
      <c r="N820" s="832" t="s">
        <v>1639</v>
      </c>
      <c r="O820" s="617"/>
      <c r="P820" s="403" t="s">
        <v>50</v>
      </c>
      <c r="Q820" s="2342">
        <f t="shared" si="96"/>
        <v>1</v>
      </c>
      <c r="R820" s="2343">
        <f t="shared" si="97"/>
        <v>5</v>
      </c>
      <c r="S820" s="2344"/>
      <c r="T820" s="2344"/>
      <c r="U820" s="2344"/>
      <c r="V820" s="2344"/>
      <c r="W820" s="2345"/>
      <c r="X820" s="2346"/>
      <c r="Y820" s="2347"/>
      <c r="Z820" s="2344"/>
      <c r="AA820" s="2344"/>
      <c r="AB820" s="2344"/>
      <c r="AC820" s="2344"/>
      <c r="AD820" s="2344"/>
      <c r="AE820" s="2347"/>
    </row>
    <row r="821" spans="1:31" s="73" customFormat="1" ht="15">
      <c r="A821" s="282">
        <v>589</v>
      </c>
      <c r="B821" s="282">
        <v>10</v>
      </c>
      <c r="C821" s="283" t="s">
        <v>1640</v>
      </c>
      <c r="D821" s="282" t="s">
        <v>1641</v>
      </c>
      <c r="E821" s="282" t="s">
        <v>47</v>
      </c>
      <c r="F821" s="612">
        <v>200</v>
      </c>
      <c r="G821" s="613">
        <f>6300*1.1</f>
        <v>6930.0000000000009</v>
      </c>
      <c r="H821" s="614">
        <f t="shared" si="94"/>
        <v>1386000.0000000002</v>
      </c>
      <c r="I821" s="829">
        <v>200</v>
      </c>
      <c r="J821" s="830">
        <v>7200</v>
      </c>
      <c r="K821" s="164">
        <f t="shared" si="98"/>
        <v>1440000</v>
      </c>
      <c r="L821" s="304">
        <f t="shared" si="95"/>
        <v>269.99999999999909</v>
      </c>
      <c r="M821" s="615" t="s">
        <v>1642</v>
      </c>
      <c r="N821" s="832" t="s">
        <v>1640</v>
      </c>
      <c r="O821" s="617"/>
      <c r="P821" s="403" t="s">
        <v>50</v>
      </c>
      <c r="Q821" s="2342">
        <f t="shared" si="96"/>
        <v>1</v>
      </c>
      <c r="R821" s="2343">
        <f t="shared" si="97"/>
        <v>200</v>
      </c>
      <c r="S821" s="2344"/>
      <c r="T821" s="2344"/>
      <c r="U821" s="2344"/>
      <c r="V821" s="2344"/>
      <c r="W821" s="2345"/>
      <c r="X821" s="2346"/>
      <c r="Y821" s="2347"/>
      <c r="Z821" s="2344"/>
      <c r="AA821" s="2344"/>
      <c r="AB821" s="2344"/>
      <c r="AC821" s="2344"/>
      <c r="AD821" s="2344"/>
      <c r="AE821" s="2347"/>
    </row>
    <row r="822" spans="1:31" s="73" customFormat="1" ht="15">
      <c r="A822" s="282">
        <v>590</v>
      </c>
      <c r="B822" s="282">
        <v>11</v>
      </c>
      <c r="C822" s="283" t="s">
        <v>1643</v>
      </c>
      <c r="D822" s="282" t="s">
        <v>1644</v>
      </c>
      <c r="E822" s="282" t="s">
        <v>497</v>
      </c>
      <c r="F822" s="612">
        <v>200</v>
      </c>
      <c r="G822" s="613">
        <f>1800*1.1</f>
        <v>1980.0000000000002</v>
      </c>
      <c r="H822" s="614">
        <f t="shared" si="94"/>
        <v>396000.00000000006</v>
      </c>
      <c r="I822" s="829">
        <v>200</v>
      </c>
      <c r="J822" s="830">
        <v>2200</v>
      </c>
      <c r="K822" s="164">
        <f t="shared" si="98"/>
        <v>440000</v>
      </c>
      <c r="L822" s="304">
        <f t="shared" si="95"/>
        <v>219.99999999999977</v>
      </c>
      <c r="M822" s="615" t="s">
        <v>261</v>
      </c>
      <c r="N822" s="832" t="s">
        <v>1643</v>
      </c>
      <c r="O822" s="617"/>
      <c r="P822" s="403" t="s">
        <v>50</v>
      </c>
      <c r="Q822" s="2342">
        <f t="shared" si="96"/>
        <v>1</v>
      </c>
      <c r="R822" s="2343">
        <f t="shared" si="97"/>
        <v>200</v>
      </c>
      <c r="S822" s="2344"/>
      <c r="T822" s="2344"/>
      <c r="U822" s="2344"/>
      <c r="V822" s="2344"/>
      <c r="W822" s="2345"/>
      <c r="X822" s="2346"/>
      <c r="Y822" s="2347"/>
      <c r="Z822" s="2344"/>
      <c r="AA822" s="2344"/>
      <c r="AB822" s="2344"/>
      <c r="AC822" s="2344"/>
      <c r="AD822" s="2344"/>
      <c r="AE822" s="2347"/>
    </row>
    <row r="823" spans="1:31" s="73" customFormat="1" ht="15">
      <c r="A823" s="282">
        <v>591</v>
      </c>
      <c r="B823" s="282">
        <v>12</v>
      </c>
      <c r="C823" s="283" t="s">
        <v>1645</v>
      </c>
      <c r="D823" s="282" t="s">
        <v>1284</v>
      </c>
      <c r="E823" s="282" t="s">
        <v>47</v>
      </c>
      <c r="F823" s="612">
        <v>5</v>
      </c>
      <c r="G823" s="613">
        <f>180000*1.1</f>
        <v>198000.00000000003</v>
      </c>
      <c r="H823" s="614">
        <f t="shared" si="94"/>
        <v>990000.00000000012</v>
      </c>
      <c r="I823" s="829">
        <v>5</v>
      </c>
      <c r="J823" s="830">
        <v>202000</v>
      </c>
      <c r="K823" s="164">
        <f t="shared" si="98"/>
        <v>1010000</v>
      </c>
      <c r="L823" s="304">
        <f t="shared" si="95"/>
        <v>3999.9999999999709</v>
      </c>
      <c r="M823" s="615" t="s">
        <v>261</v>
      </c>
      <c r="N823" s="832" t="s">
        <v>1646</v>
      </c>
      <c r="O823" s="617"/>
      <c r="P823" s="403" t="s">
        <v>50</v>
      </c>
      <c r="Q823" s="2342">
        <f t="shared" si="96"/>
        <v>1</v>
      </c>
      <c r="R823" s="2343">
        <f t="shared" si="97"/>
        <v>5</v>
      </c>
      <c r="S823" s="2344"/>
      <c r="T823" s="2344"/>
      <c r="U823" s="2344"/>
      <c r="V823" s="2344"/>
      <c r="W823" s="2345"/>
      <c r="X823" s="2346"/>
      <c r="Y823" s="2347"/>
      <c r="Z823" s="2344"/>
      <c r="AA823" s="2344"/>
      <c r="AB823" s="2344"/>
      <c r="AC823" s="2344"/>
      <c r="AD823" s="2344"/>
      <c r="AE823" s="2347"/>
    </row>
    <row r="824" spans="1:31" s="73" customFormat="1" ht="15">
      <c r="A824" s="282">
        <v>592</v>
      </c>
      <c r="B824" s="282">
        <v>13</v>
      </c>
      <c r="C824" s="283" t="s">
        <v>1647</v>
      </c>
      <c r="D824" s="282" t="s">
        <v>67</v>
      </c>
      <c r="E824" s="282" t="s">
        <v>47</v>
      </c>
      <c r="F824" s="612">
        <v>50</v>
      </c>
      <c r="G824" s="613">
        <f>10500*1.1</f>
        <v>11550.000000000002</v>
      </c>
      <c r="H824" s="614">
        <f t="shared" si="94"/>
        <v>577500.00000000012</v>
      </c>
      <c r="I824" s="829">
        <v>50</v>
      </c>
      <c r="J824" s="830">
        <v>12000</v>
      </c>
      <c r="K824" s="164">
        <f t="shared" si="98"/>
        <v>600000</v>
      </c>
      <c r="L824" s="304">
        <f t="shared" si="95"/>
        <v>449.99999999999818</v>
      </c>
      <c r="M824" s="615" t="s">
        <v>261</v>
      </c>
      <c r="N824" s="832" t="s">
        <v>1647</v>
      </c>
      <c r="O824" s="617"/>
      <c r="P824" s="403" t="s">
        <v>50</v>
      </c>
      <c r="Q824" s="2342">
        <f t="shared" si="96"/>
        <v>1</v>
      </c>
      <c r="R824" s="2343">
        <f t="shared" si="97"/>
        <v>50</v>
      </c>
      <c r="S824" s="2344"/>
      <c r="T824" s="2344"/>
      <c r="U824" s="2344"/>
      <c r="V824" s="2344"/>
      <c r="W824" s="2345"/>
      <c r="X824" s="2346"/>
      <c r="Y824" s="2347"/>
      <c r="Z824" s="2344"/>
      <c r="AA824" s="2344"/>
      <c r="AB824" s="2344"/>
      <c r="AC824" s="2344"/>
      <c r="AD824" s="2344"/>
      <c r="AE824" s="2347"/>
    </row>
    <row r="825" spans="1:31" s="73" customFormat="1" ht="15">
      <c r="A825" s="282">
        <v>593</v>
      </c>
      <c r="B825" s="282">
        <v>14</v>
      </c>
      <c r="C825" s="283" t="s">
        <v>1648</v>
      </c>
      <c r="D825" s="282" t="s">
        <v>67</v>
      </c>
      <c r="E825" s="282" t="s">
        <v>47</v>
      </c>
      <c r="F825" s="612">
        <v>50</v>
      </c>
      <c r="G825" s="613">
        <f>5500</f>
        <v>5500</v>
      </c>
      <c r="H825" s="614">
        <f t="shared" si="94"/>
        <v>275000</v>
      </c>
      <c r="I825" s="829">
        <v>50</v>
      </c>
      <c r="J825" s="830">
        <v>5500</v>
      </c>
      <c r="K825" s="164">
        <f t="shared" si="98"/>
        <v>275000</v>
      </c>
      <c r="L825" s="304">
        <f t="shared" si="95"/>
        <v>0</v>
      </c>
      <c r="M825" s="615" t="s">
        <v>261</v>
      </c>
      <c r="N825" s="832" t="s">
        <v>1648</v>
      </c>
      <c r="O825" s="617"/>
      <c r="P825" s="403" t="s">
        <v>50</v>
      </c>
      <c r="Q825" s="2342">
        <f t="shared" si="96"/>
        <v>1</v>
      </c>
      <c r="R825" s="2343">
        <f t="shared" si="97"/>
        <v>50</v>
      </c>
      <c r="S825" s="2344"/>
      <c r="T825" s="2344"/>
      <c r="U825" s="2344"/>
      <c r="V825" s="2344"/>
      <c r="W825" s="2345"/>
      <c r="X825" s="2346"/>
      <c r="Y825" s="2347"/>
      <c r="Z825" s="2344"/>
      <c r="AA825" s="2344"/>
      <c r="AB825" s="2344"/>
      <c r="AC825" s="2344"/>
      <c r="AD825" s="2344"/>
      <c r="AE825" s="2347"/>
    </row>
    <row r="826" spans="1:31" s="73" customFormat="1" ht="15">
      <c r="A826" s="282">
        <v>594</v>
      </c>
      <c r="B826" s="282">
        <v>15</v>
      </c>
      <c r="C826" s="283" t="s">
        <v>1649</v>
      </c>
      <c r="D826" s="282" t="s">
        <v>1284</v>
      </c>
      <c r="E826" s="282" t="s">
        <v>47</v>
      </c>
      <c r="F826" s="612">
        <v>5</v>
      </c>
      <c r="G826" s="613">
        <f>2376000*1.05</f>
        <v>2494800</v>
      </c>
      <c r="H826" s="614">
        <f t="shared" si="94"/>
        <v>12474000</v>
      </c>
      <c r="I826" s="829">
        <v>5</v>
      </c>
      <c r="J826" s="830">
        <v>2530000</v>
      </c>
      <c r="K826" s="164">
        <f t="shared" si="98"/>
        <v>12650000</v>
      </c>
      <c r="L826" s="304">
        <f t="shared" si="95"/>
        <v>35200</v>
      </c>
      <c r="M826" s="615" t="s">
        <v>1650</v>
      </c>
      <c r="N826" s="832" t="s">
        <v>1649</v>
      </c>
      <c r="O826" s="617"/>
      <c r="P826" s="403" t="s">
        <v>50</v>
      </c>
      <c r="Q826" s="2342">
        <f t="shared" si="96"/>
        <v>1</v>
      </c>
      <c r="R826" s="2343">
        <f t="shared" si="97"/>
        <v>5</v>
      </c>
      <c r="S826" s="2344"/>
      <c r="T826" s="2344"/>
      <c r="U826" s="2344"/>
      <c r="V826" s="2344"/>
      <c r="W826" s="2345"/>
      <c r="X826" s="2346"/>
      <c r="Y826" s="2347"/>
      <c r="Z826" s="2344"/>
      <c r="AA826" s="2344"/>
      <c r="AB826" s="2344"/>
      <c r="AC826" s="2344"/>
      <c r="AD826" s="2344"/>
      <c r="AE826" s="2347"/>
    </row>
    <row r="827" spans="1:31" s="73" customFormat="1" ht="15">
      <c r="A827" s="282">
        <v>595</v>
      </c>
      <c r="B827" s="282">
        <v>16</v>
      </c>
      <c r="C827" s="283" t="s">
        <v>1651</v>
      </c>
      <c r="D827" s="282" t="s">
        <v>1284</v>
      </c>
      <c r="E827" s="282" t="s">
        <v>47</v>
      </c>
      <c r="F827" s="612">
        <v>5</v>
      </c>
      <c r="G827" s="613">
        <f>2376000*1.05</f>
        <v>2494800</v>
      </c>
      <c r="H827" s="614">
        <f t="shared" si="94"/>
        <v>12474000</v>
      </c>
      <c r="I827" s="829">
        <v>5</v>
      </c>
      <c r="J827" s="830">
        <v>2530000</v>
      </c>
      <c r="K827" s="164">
        <f t="shared" si="98"/>
        <v>12650000</v>
      </c>
      <c r="L827" s="304">
        <f t="shared" si="95"/>
        <v>35200</v>
      </c>
      <c r="M827" s="615" t="s">
        <v>1650</v>
      </c>
      <c r="N827" s="832" t="s">
        <v>1651</v>
      </c>
      <c r="O827" s="617"/>
      <c r="P827" s="403" t="s">
        <v>50</v>
      </c>
      <c r="Q827" s="2342">
        <f t="shared" si="96"/>
        <v>1</v>
      </c>
      <c r="R827" s="2343">
        <f t="shared" si="97"/>
        <v>5</v>
      </c>
      <c r="S827" s="2344"/>
      <c r="T827" s="2344"/>
      <c r="U827" s="2344"/>
      <c r="V827" s="2344"/>
      <c r="W827" s="2345"/>
      <c r="X827" s="2346"/>
      <c r="Y827" s="2347"/>
      <c r="Z827" s="2344"/>
      <c r="AA827" s="2344"/>
      <c r="AB827" s="2344"/>
      <c r="AC827" s="2344"/>
      <c r="AD827" s="2344"/>
      <c r="AE827" s="2347"/>
    </row>
    <row r="828" spans="1:31" s="73" customFormat="1" ht="15">
      <c r="A828" s="282">
        <v>596</v>
      </c>
      <c r="B828" s="282">
        <v>17</v>
      </c>
      <c r="C828" s="283" t="s">
        <v>1652</v>
      </c>
      <c r="D828" s="282" t="s">
        <v>1653</v>
      </c>
      <c r="E828" s="282" t="s">
        <v>1654</v>
      </c>
      <c r="F828" s="612">
        <v>2</v>
      </c>
      <c r="G828" s="613">
        <f>2810000*1.1</f>
        <v>3091000.0000000005</v>
      </c>
      <c r="H828" s="614">
        <f t="shared" si="94"/>
        <v>6182000.0000000009</v>
      </c>
      <c r="I828" s="829">
        <v>2</v>
      </c>
      <c r="J828" s="830">
        <v>3200000</v>
      </c>
      <c r="K828" s="164">
        <f t="shared" si="98"/>
        <v>6400000</v>
      </c>
      <c r="L828" s="304">
        <f t="shared" si="95"/>
        <v>108999.99999999953</v>
      </c>
      <c r="M828" s="831" t="s">
        <v>261</v>
      </c>
      <c r="N828" s="832" t="s">
        <v>1655</v>
      </c>
      <c r="O828" s="617"/>
      <c r="P828" s="403" t="s">
        <v>50</v>
      </c>
      <c r="Q828" s="2342">
        <f t="shared" si="96"/>
        <v>1</v>
      </c>
      <c r="R828" s="2343">
        <f t="shared" si="97"/>
        <v>2</v>
      </c>
      <c r="S828" s="2344"/>
      <c r="T828" s="2344"/>
      <c r="U828" s="2344"/>
      <c r="V828" s="2344"/>
      <c r="W828" s="2345"/>
      <c r="X828" s="2346"/>
      <c r="Y828" s="2347"/>
      <c r="Z828" s="2344"/>
      <c r="AA828" s="2344"/>
      <c r="AB828" s="2344"/>
      <c r="AC828" s="2344"/>
      <c r="AD828" s="2344"/>
      <c r="AE828" s="2347"/>
    </row>
    <row r="829" spans="1:31" s="73" customFormat="1" ht="15">
      <c r="A829" s="282">
        <v>597</v>
      </c>
      <c r="B829" s="282">
        <v>18</v>
      </c>
      <c r="C829" s="283" t="s">
        <v>1656</v>
      </c>
      <c r="D829" s="282" t="s">
        <v>1628</v>
      </c>
      <c r="E829" s="282" t="s">
        <v>47</v>
      </c>
      <c r="F829" s="612">
        <v>4</v>
      </c>
      <c r="G829" s="613">
        <f>38000*1.05</f>
        <v>39900</v>
      </c>
      <c r="H829" s="614">
        <f t="shared" si="94"/>
        <v>159600</v>
      </c>
      <c r="I829" s="829">
        <v>4</v>
      </c>
      <c r="J829" s="830">
        <v>42000</v>
      </c>
      <c r="K829" s="164">
        <f t="shared" si="98"/>
        <v>168000</v>
      </c>
      <c r="L829" s="304">
        <f t="shared" si="95"/>
        <v>2100</v>
      </c>
      <c r="M829" s="831" t="s">
        <v>1622</v>
      </c>
      <c r="N829" s="832" t="s">
        <v>1657</v>
      </c>
      <c r="O829" s="617"/>
      <c r="P829" s="403" t="s">
        <v>50</v>
      </c>
      <c r="Q829" s="2342">
        <f t="shared" si="96"/>
        <v>1</v>
      </c>
      <c r="R829" s="2343">
        <f t="shared" si="97"/>
        <v>4</v>
      </c>
      <c r="S829" s="2344"/>
      <c r="T829" s="2344"/>
      <c r="U829" s="2344"/>
      <c r="V829" s="2344"/>
      <c r="W829" s="2345"/>
      <c r="X829" s="2346"/>
      <c r="Y829" s="2347"/>
      <c r="Z829" s="2344"/>
      <c r="AA829" s="2344"/>
      <c r="AB829" s="2344"/>
      <c r="AC829" s="2344"/>
      <c r="AD829" s="2344"/>
      <c r="AE829" s="2347"/>
    </row>
    <row r="830" spans="1:31" s="73" customFormat="1" ht="15">
      <c r="A830" s="282">
        <v>598</v>
      </c>
      <c r="B830" s="282">
        <v>19</v>
      </c>
      <c r="C830" s="283" t="s">
        <v>1658</v>
      </c>
      <c r="D830" s="282" t="s">
        <v>1659</v>
      </c>
      <c r="E830" s="282" t="s">
        <v>47</v>
      </c>
      <c r="F830" s="612">
        <v>6</v>
      </c>
      <c r="G830" s="613">
        <f>30000*1.05</f>
        <v>31500</v>
      </c>
      <c r="H830" s="614">
        <f t="shared" si="94"/>
        <v>189000</v>
      </c>
      <c r="I830" s="829">
        <v>6</v>
      </c>
      <c r="J830" s="830">
        <v>33000</v>
      </c>
      <c r="K830" s="164">
        <f t="shared" si="98"/>
        <v>198000</v>
      </c>
      <c r="L830" s="304">
        <f t="shared" si="95"/>
        <v>1500</v>
      </c>
      <c r="M830" s="831" t="s">
        <v>1622</v>
      </c>
      <c r="N830" s="832" t="s">
        <v>1660</v>
      </c>
      <c r="O830" s="617"/>
      <c r="P830" s="403" t="s">
        <v>50</v>
      </c>
      <c r="Q830" s="2342">
        <f t="shared" si="96"/>
        <v>1</v>
      </c>
      <c r="R830" s="2343">
        <f t="shared" si="97"/>
        <v>6</v>
      </c>
      <c r="S830" s="2344"/>
      <c r="T830" s="2344"/>
      <c r="U830" s="2344"/>
      <c r="V830" s="2344"/>
      <c r="W830" s="2345"/>
      <c r="X830" s="2346"/>
      <c r="Y830" s="2347"/>
      <c r="Z830" s="2344"/>
      <c r="AA830" s="2344"/>
      <c r="AB830" s="2344"/>
      <c r="AC830" s="2344"/>
      <c r="AD830" s="2344"/>
      <c r="AE830" s="2347"/>
    </row>
    <row r="831" spans="1:31" s="73" customFormat="1" ht="15">
      <c r="A831" s="282">
        <v>599</v>
      </c>
      <c r="B831" s="282">
        <v>20</v>
      </c>
      <c r="C831" s="283" t="s">
        <v>1661</v>
      </c>
      <c r="D831" s="282" t="s">
        <v>182</v>
      </c>
      <c r="E831" s="282" t="s">
        <v>47</v>
      </c>
      <c r="F831" s="612">
        <v>10</v>
      </c>
      <c r="G831" s="613">
        <f>24600*1.05</f>
        <v>25830</v>
      </c>
      <c r="H831" s="614">
        <f t="shared" si="94"/>
        <v>258300</v>
      </c>
      <c r="I831" s="829">
        <v>10</v>
      </c>
      <c r="J831" s="830">
        <v>27000</v>
      </c>
      <c r="K831" s="164">
        <f t="shared" si="98"/>
        <v>270000</v>
      </c>
      <c r="L831" s="304">
        <f t="shared" si="95"/>
        <v>1170</v>
      </c>
      <c r="M831" s="831" t="s">
        <v>1622</v>
      </c>
      <c r="N831" s="832" t="s">
        <v>1662</v>
      </c>
      <c r="O831" s="617"/>
      <c r="P831" s="403" t="s">
        <v>50</v>
      </c>
      <c r="Q831" s="2342">
        <f t="shared" si="96"/>
        <v>1</v>
      </c>
      <c r="R831" s="2343">
        <f t="shared" si="97"/>
        <v>10</v>
      </c>
      <c r="S831" s="2344"/>
      <c r="T831" s="2344"/>
      <c r="U831" s="2344"/>
      <c r="V831" s="2344"/>
      <c r="W831" s="2345"/>
      <c r="X831" s="2346"/>
      <c r="Y831" s="2347"/>
      <c r="Z831" s="2344"/>
      <c r="AA831" s="2344"/>
      <c r="AB831" s="2344"/>
      <c r="AC831" s="2344"/>
      <c r="AD831" s="2344"/>
      <c r="AE831" s="2347"/>
    </row>
    <row r="832" spans="1:31" s="73" customFormat="1" ht="15">
      <c r="A832" s="282">
        <v>600</v>
      </c>
      <c r="B832" s="282">
        <v>21</v>
      </c>
      <c r="C832" s="283" t="s">
        <v>1663</v>
      </c>
      <c r="D832" s="282" t="s">
        <v>1628</v>
      </c>
      <c r="E832" s="282" t="s">
        <v>47</v>
      </c>
      <c r="F832" s="612">
        <v>10</v>
      </c>
      <c r="G832" s="613">
        <f>38000*1.05</f>
        <v>39900</v>
      </c>
      <c r="H832" s="614">
        <f t="shared" si="94"/>
        <v>399000</v>
      </c>
      <c r="I832" s="829">
        <v>10</v>
      </c>
      <c r="J832" s="830">
        <v>42000</v>
      </c>
      <c r="K832" s="164">
        <f t="shared" si="98"/>
        <v>420000</v>
      </c>
      <c r="L832" s="304">
        <f t="shared" si="95"/>
        <v>2100</v>
      </c>
      <c r="M832" s="831" t="s">
        <v>1622</v>
      </c>
      <c r="N832" s="832" t="s">
        <v>1664</v>
      </c>
      <c r="O832" s="617"/>
      <c r="P832" s="403" t="s">
        <v>50</v>
      </c>
      <c r="Q832" s="2342">
        <f t="shared" si="96"/>
        <v>1</v>
      </c>
      <c r="R832" s="2343">
        <f t="shared" si="97"/>
        <v>10</v>
      </c>
      <c r="S832" s="2344"/>
      <c r="T832" s="2344"/>
      <c r="U832" s="2344"/>
      <c r="V832" s="2344"/>
      <c r="W832" s="2345"/>
      <c r="X832" s="2346"/>
      <c r="Y832" s="2347"/>
      <c r="Z832" s="2344"/>
      <c r="AA832" s="2344"/>
      <c r="AB832" s="2344"/>
      <c r="AC832" s="2344"/>
      <c r="AD832" s="2344"/>
      <c r="AE832" s="2347"/>
    </row>
    <row r="833" spans="1:31" s="73" customFormat="1" ht="15">
      <c r="A833" s="282">
        <v>601</v>
      </c>
      <c r="B833" s="282">
        <v>22</v>
      </c>
      <c r="C833" s="283" t="s">
        <v>1665</v>
      </c>
      <c r="D833" s="282" t="s">
        <v>1666</v>
      </c>
      <c r="E833" s="282" t="s">
        <v>47</v>
      </c>
      <c r="F833" s="612">
        <v>500</v>
      </c>
      <c r="G833" s="613">
        <f>940*1.05</f>
        <v>987</v>
      </c>
      <c r="H833" s="614">
        <f t="shared" si="94"/>
        <v>493500</v>
      </c>
      <c r="I833" s="829">
        <v>500</v>
      </c>
      <c r="J833" s="830">
        <v>1200</v>
      </c>
      <c r="K833" s="164">
        <f t="shared" si="98"/>
        <v>600000</v>
      </c>
      <c r="L833" s="304">
        <f t="shared" si="95"/>
        <v>213</v>
      </c>
      <c r="M833" s="831" t="s">
        <v>261</v>
      </c>
      <c r="N833" s="832" t="s">
        <v>1665</v>
      </c>
      <c r="O833" s="617"/>
      <c r="P833" s="403" t="s">
        <v>50</v>
      </c>
      <c r="Q833" s="2342">
        <f t="shared" si="96"/>
        <v>1</v>
      </c>
      <c r="R833" s="2343">
        <f t="shared" si="97"/>
        <v>500</v>
      </c>
      <c r="S833" s="2344"/>
      <c r="T833" s="2344"/>
      <c r="U833" s="2344"/>
      <c r="V833" s="2344"/>
      <c r="W833" s="2345"/>
      <c r="X833" s="2346"/>
      <c r="Y833" s="2347"/>
      <c r="Z833" s="2344"/>
      <c r="AA833" s="2344"/>
      <c r="AB833" s="2344"/>
      <c r="AC833" s="2344"/>
      <c r="AD833" s="2344"/>
      <c r="AE833" s="2347"/>
    </row>
    <row r="834" spans="1:31" s="73" customFormat="1" ht="15">
      <c r="A834" s="282">
        <v>602</v>
      </c>
      <c r="B834" s="282">
        <v>23</v>
      </c>
      <c r="C834" s="283" t="s">
        <v>1667</v>
      </c>
      <c r="D834" s="282" t="s">
        <v>1668</v>
      </c>
      <c r="E834" s="282" t="s">
        <v>47</v>
      </c>
      <c r="F834" s="612">
        <v>200</v>
      </c>
      <c r="G834" s="613">
        <v>147</v>
      </c>
      <c r="H834" s="614">
        <f t="shared" si="94"/>
        <v>29400</v>
      </c>
      <c r="I834" s="829">
        <v>200</v>
      </c>
      <c r="J834" s="830">
        <v>250</v>
      </c>
      <c r="K834" s="164">
        <f t="shared" si="98"/>
        <v>50000</v>
      </c>
      <c r="L834" s="304">
        <f t="shared" si="95"/>
        <v>103</v>
      </c>
      <c r="M834" s="831" t="s">
        <v>622</v>
      </c>
      <c r="N834" s="832" t="s">
        <v>129</v>
      </c>
      <c r="O834" s="617"/>
      <c r="P834" s="403" t="s">
        <v>50</v>
      </c>
      <c r="Q834" s="2342">
        <f t="shared" si="96"/>
        <v>1</v>
      </c>
      <c r="R834" s="2343">
        <f t="shared" si="97"/>
        <v>200</v>
      </c>
      <c r="S834" s="2344"/>
      <c r="T834" s="2344"/>
      <c r="U834" s="2344"/>
      <c r="V834" s="2344"/>
      <c r="W834" s="2345"/>
      <c r="X834" s="2346"/>
      <c r="Y834" s="2347"/>
      <c r="Z834" s="2344"/>
      <c r="AA834" s="2344"/>
      <c r="AB834" s="2344"/>
      <c r="AC834" s="2344"/>
      <c r="AD834" s="2344"/>
      <c r="AE834" s="2347"/>
    </row>
    <row r="835" spans="1:31" s="73" customFormat="1" ht="15">
      <c r="A835" s="282">
        <v>603</v>
      </c>
      <c r="B835" s="282">
        <v>24</v>
      </c>
      <c r="C835" s="283" t="s">
        <v>1669</v>
      </c>
      <c r="D835" s="282" t="s">
        <v>1628</v>
      </c>
      <c r="E835" s="282" t="s">
        <v>47</v>
      </c>
      <c r="F835" s="612">
        <v>50</v>
      </c>
      <c r="G835" s="613">
        <v>94500</v>
      </c>
      <c r="H835" s="614">
        <f t="shared" si="94"/>
        <v>4725000</v>
      </c>
      <c r="I835" s="829">
        <v>50</v>
      </c>
      <c r="J835" s="830">
        <v>96000</v>
      </c>
      <c r="K835" s="164">
        <f t="shared" si="98"/>
        <v>4800000</v>
      </c>
      <c r="L835" s="304">
        <f t="shared" si="95"/>
        <v>1500</v>
      </c>
      <c r="M835" s="831" t="s">
        <v>1622</v>
      </c>
      <c r="N835" s="832" t="s">
        <v>1670</v>
      </c>
      <c r="O835" s="617"/>
      <c r="P835" s="403" t="s">
        <v>50</v>
      </c>
      <c r="Q835" s="2342">
        <f t="shared" si="96"/>
        <v>1</v>
      </c>
      <c r="R835" s="2343">
        <f t="shared" si="97"/>
        <v>50</v>
      </c>
      <c r="S835" s="2344"/>
      <c r="T835" s="2344"/>
      <c r="U835" s="2344"/>
      <c r="V835" s="2344"/>
      <c r="W835" s="2345"/>
      <c r="X835" s="2346"/>
      <c r="Y835" s="2347"/>
      <c r="Z835" s="2344"/>
      <c r="AA835" s="2344"/>
      <c r="AB835" s="2344"/>
      <c r="AC835" s="2344"/>
      <c r="AD835" s="2344"/>
      <c r="AE835" s="2347"/>
    </row>
    <row r="836" spans="1:31" s="73" customFormat="1" ht="15">
      <c r="A836" s="282">
        <v>604</v>
      </c>
      <c r="B836" s="282">
        <v>25</v>
      </c>
      <c r="C836" s="283" t="s">
        <v>1671</v>
      </c>
      <c r="D836" s="282" t="s">
        <v>1659</v>
      </c>
      <c r="E836" s="282" t="s">
        <v>47</v>
      </c>
      <c r="F836" s="612">
        <v>50</v>
      </c>
      <c r="G836" s="613">
        <f>58000*1.05</f>
        <v>60900</v>
      </c>
      <c r="H836" s="614">
        <f t="shared" si="94"/>
        <v>3045000</v>
      </c>
      <c r="I836" s="829">
        <v>50</v>
      </c>
      <c r="J836" s="830">
        <v>66000</v>
      </c>
      <c r="K836" s="164">
        <f t="shared" si="98"/>
        <v>3300000</v>
      </c>
      <c r="L836" s="304">
        <f t="shared" si="95"/>
        <v>5100</v>
      </c>
      <c r="M836" s="831" t="s">
        <v>1622</v>
      </c>
      <c r="N836" s="832" t="s">
        <v>1670</v>
      </c>
      <c r="O836" s="617"/>
      <c r="P836" s="403" t="s">
        <v>50</v>
      </c>
      <c r="Q836" s="2342">
        <f t="shared" si="96"/>
        <v>1</v>
      </c>
      <c r="R836" s="2343">
        <f t="shared" si="97"/>
        <v>50</v>
      </c>
      <c r="S836" s="2344"/>
      <c r="T836" s="2344"/>
      <c r="U836" s="2344"/>
      <c r="V836" s="2344"/>
      <c r="W836" s="2345"/>
      <c r="X836" s="2346"/>
      <c r="Y836" s="2347"/>
      <c r="Z836" s="2344"/>
      <c r="AA836" s="2344"/>
      <c r="AB836" s="2344"/>
      <c r="AC836" s="2344"/>
      <c r="AD836" s="2344"/>
      <c r="AE836" s="2347"/>
    </row>
    <row r="837" spans="1:31" ht="18">
      <c r="A837" s="282">
        <v>605</v>
      </c>
      <c r="B837" s="282">
        <v>26</v>
      </c>
      <c r="C837" s="283" t="s">
        <v>1672</v>
      </c>
      <c r="D837" s="282" t="s">
        <v>60</v>
      </c>
      <c r="E837" s="282" t="s">
        <v>47</v>
      </c>
      <c r="F837" s="612">
        <v>20</v>
      </c>
      <c r="G837" s="613">
        <f>105000*1.05</f>
        <v>110250</v>
      </c>
      <c r="H837" s="614">
        <f t="shared" si="94"/>
        <v>2205000</v>
      </c>
      <c r="I837" s="829">
        <v>20</v>
      </c>
      <c r="J837" s="830">
        <v>115000</v>
      </c>
      <c r="K837" s="164">
        <f t="shared" si="98"/>
        <v>2300000</v>
      </c>
      <c r="L837" s="304">
        <f t="shared" si="95"/>
        <v>4750</v>
      </c>
      <c r="M837" s="831" t="s">
        <v>1673</v>
      </c>
      <c r="N837" s="832" t="s">
        <v>1674</v>
      </c>
      <c r="O837" s="617"/>
      <c r="P837" s="403" t="s">
        <v>50</v>
      </c>
      <c r="Q837" s="2342">
        <f t="shared" si="96"/>
        <v>1</v>
      </c>
      <c r="R837" s="2343">
        <f t="shared" si="97"/>
        <v>20</v>
      </c>
      <c r="S837" s="2344"/>
      <c r="T837" s="2344"/>
      <c r="U837" s="2344"/>
      <c r="V837" s="2344"/>
      <c r="W837" s="2345"/>
      <c r="X837" s="2346"/>
      <c r="Y837" s="2347"/>
      <c r="Z837" s="2344"/>
      <c r="AA837" s="2344"/>
      <c r="AB837" s="2344"/>
      <c r="AC837" s="2344"/>
      <c r="AD837" s="2344"/>
      <c r="AE837" s="2347"/>
    </row>
    <row r="838" spans="1:31" ht="18">
      <c r="A838" s="282">
        <v>606</v>
      </c>
      <c r="B838" s="282">
        <v>27</v>
      </c>
      <c r="C838" s="283" t="s">
        <v>1675</v>
      </c>
      <c r="D838" s="282" t="s">
        <v>60</v>
      </c>
      <c r="E838" s="282" t="s">
        <v>47</v>
      </c>
      <c r="F838" s="612">
        <v>50</v>
      </c>
      <c r="G838" s="613">
        <f>74000*1.05</f>
        <v>77700</v>
      </c>
      <c r="H838" s="614">
        <f t="shared" si="94"/>
        <v>3885000</v>
      </c>
      <c r="I838" s="829">
        <v>50</v>
      </c>
      <c r="J838" s="830">
        <v>82000</v>
      </c>
      <c r="K838" s="164">
        <f t="shared" si="98"/>
        <v>4100000</v>
      </c>
      <c r="L838" s="304">
        <f t="shared" si="95"/>
        <v>4300</v>
      </c>
      <c r="M838" s="831" t="s">
        <v>1676</v>
      </c>
      <c r="N838" s="832" t="s">
        <v>1677</v>
      </c>
      <c r="O838" s="617"/>
      <c r="P838" s="403" t="s">
        <v>50</v>
      </c>
      <c r="Q838" s="2342">
        <f t="shared" si="96"/>
        <v>1</v>
      </c>
      <c r="R838" s="2343">
        <f t="shared" si="97"/>
        <v>50</v>
      </c>
      <c r="S838" s="2344"/>
      <c r="T838" s="2344"/>
      <c r="U838" s="2344"/>
      <c r="V838" s="2344"/>
      <c r="W838" s="2345"/>
      <c r="X838" s="2346"/>
      <c r="Y838" s="2347"/>
      <c r="Z838" s="2344"/>
      <c r="AA838" s="2344"/>
      <c r="AB838" s="2344"/>
      <c r="AC838" s="2344"/>
      <c r="AD838" s="2344"/>
      <c r="AE838" s="2347"/>
    </row>
    <row r="839" spans="1:31" ht="15">
      <c r="A839" s="282">
        <v>607</v>
      </c>
      <c r="B839" s="282">
        <v>28</v>
      </c>
      <c r="C839" s="283" t="s">
        <v>1678</v>
      </c>
      <c r="D839" s="282" t="s">
        <v>60</v>
      </c>
      <c r="E839" s="282" t="s">
        <v>47</v>
      </c>
      <c r="F839" s="612">
        <v>50</v>
      </c>
      <c r="G839" s="613">
        <f>28000*1.05</f>
        <v>29400</v>
      </c>
      <c r="H839" s="614">
        <f t="shared" si="94"/>
        <v>1470000</v>
      </c>
      <c r="I839" s="829">
        <v>50</v>
      </c>
      <c r="J839" s="830">
        <v>32000</v>
      </c>
      <c r="K839" s="164">
        <f t="shared" si="98"/>
        <v>1600000</v>
      </c>
      <c r="L839" s="304">
        <f t="shared" si="95"/>
        <v>2600</v>
      </c>
      <c r="M839" s="831" t="s">
        <v>1676</v>
      </c>
      <c r="N839" s="832" t="s">
        <v>1679</v>
      </c>
      <c r="O839" s="617"/>
      <c r="P839" s="403" t="s">
        <v>50</v>
      </c>
      <c r="Q839" s="2342">
        <f t="shared" si="96"/>
        <v>1</v>
      </c>
      <c r="R839" s="2343">
        <f t="shared" si="97"/>
        <v>50</v>
      </c>
      <c r="S839" s="2344"/>
      <c r="T839" s="2344"/>
      <c r="U839" s="2344"/>
      <c r="V839" s="2344"/>
      <c r="W839" s="2345"/>
      <c r="X839" s="2346"/>
      <c r="Y839" s="2347"/>
      <c r="Z839" s="2344"/>
      <c r="AA839" s="2344"/>
      <c r="AB839" s="2344"/>
      <c r="AC839" s="2344"/>
      <c r="AD839" s="2344"/>
      <c r="AE839" s="2347"/>
    </row>
    <row r="840" spans="1:31" ht="15">
      <c r="A840" s="282">
        <v>608</v>
      </c>
      <c r="B840" s="282">
        <v>29</v>
      </c>
      <c r="C840" s="283" t="s">
        <v>1680</v>
      </c>
      <c r="D840" s="282" t="s">
        <v>60</v>
      </c>
      <c r="E840" s="282" t="s">
        <v>47</v>
      </c>
      <c r="F840" s="612">
        <v>10</v>
      </c>
      <c r="G840" s="613">
        <f>100000*1.05</f>
        <v>105000</v>
      </c>
      <c r="H840" s="614">
        <f t="shared" si="94"/>
        <v>1050000</v>
      </c>
      <c r="I840" s="829">
        <v>10</v>
      </c>
      <c r="J840" s="830">
        <v>120000</v>
      </c>
      <c r="K840" s="164">
        <f t="shared" si="98"/>
        <v>1200000</v>
      </c>
      <c r="L840" s="304">
        <f t="shared" si="95"/>
        <v>15000</v>
      </c>
      <c r="M840" s="831" t="s">
        <v>1676</v>
      </c>
      <c r="N840" s="832" t="s">
        <v>1681</v>
      </c>
      <c r="O840" s="617"/>
      <c r="P840" s="403" t="s">
        <v>50</v>
      </c>
      <c r="Q840" s="2342">
        <f t="shared" si="96"/>
        <v>1</v>
      </c>
      <c r="R840" s="2343">
        <f t="shared" si="97"/>
        <v>10</v>
      </c>
      <c r="S840" s="2344"/>
      <c r="T840" s="2344"/>
      <c r="U840" s="2344"/>
      <c r="V840" s="2344"/>
      <c r="W840" s="2345"/>
      <c r="X840" s="2346"/>
      <c r="Y840" s="2347"/>
      <c r="Z840" s="2344"/>
      <c r="AA840" s="2344"/>
      <c r="AB840" s="2344"/>
      <c r="AC840" s="2344"/>
      <c r="AD840" s="2344"/>
      <c r="AE840" s="2347"/>
    </row>
    <row r="841" spans="1:31" ht="15">
      <c r="A841" s="282">
        <v>609</v>
      </c>
      <c r="B841" s="282">
        <v>30</v>
      </c>
      <c r="C841" s="283" t="s">
        <v>1682</v>
      </c>
      <c r="D841" s="282" t="s">
        <v>1666</v>
      </c>
      <c r="E841" s="282" t="s">
        <v>47</v>
      </c>
      <c r="F841" s="619">
        <v>1000</v>
      </c>
      <c r="G841" s="613">
        <f>380*1.05</f>
        <v>399</v>
      </c>
      <c r="H841" s="614">
        <f t="shared" si="94"/>
        <v>399000</v>
      </c>
      <c r="I841" s="829">
        <v>1000</v>
      </c>
      <c r="J841" s="830">
        <v>500</v>
      </c>
      <c r="K841" s="164">
        <f t="shared" si="98"/>
        <v>500000</v>
      </c>
      <c r="L841" s="304">
        <f t="shared" si="95"/>
        <v>101</v>
      </c>
      <c r="M841" s="831" t="s">
        <v>622</v>
      </c>
      <c r="N841" s="832" t="s">
        <v>1683</v>
      </c>
      <c r="O841" s="617"/>
      <c r="P841" s="403" t="s">
        <v>50</v>
      </c>
      <c r="Q841" s="2342">
        <f t="shared" si="96"/>
        <v>1</v>
      </c>
      <c r="R841" s="2343">
        <f t="shared" si="97"/>
        <v>1000</v>
      </c>
      <c r="S841" s="2344"/>
      <c r="T841" s="2344"/>
      <c r="U841" s="2344"/>
      <c r="V841" s="2344"/>
      <c r="W841" s="2345"/>
      <c r="X841" s="2346"/>
      <c r="Y841" s="2347"/>
      <c r="Z841" s="2344"/>
      <c r="AA841" s="2344"/>
      <c r="AB841" s="2344"/>
      <c r="AC841" s="2344"/>
      <c r="AD841" s="2344"/>
      <c r="AE841" s="2347"/>
    </row>
    <row r="842" spans="1:31" ht="15">
      <c r="A842" s="282">
        <v>610</v>
      </c>
      <c r="B842" s="282">
        <v>31</v>
      </c>
      <c r="C842" s="283" t="s">
        <v>1684</v>
      </c>
      <c r="D842" s="282" t="s">
        <v>75</v>
      </c>
      <c r="E842" s="282" t="s">
        <v>47</v>
      </c>
      <c r="F842" s="612">
        <v>10</v>
      </c>
      <c r="G842" s="613">
        <f>12200*1.05</f>
        <v>12810</v>
      </c>
      <c r="H842" s="614">
        <f t="shared" si="94"/>
        <v>128100</v>
      </c>
      <c r="I842" s="829">
        <v>10</v>
      </c>
      <c r="J842" s="830">
        <v>15000</v>
      </c>
      <c r="K842" s="164">
        <f t="shared" si="98"/>
        <v>150000</v>
      </c>
      <c r="L842" s="304">
        <f t="shared" si="95"/>
        <v>2190</v>
      </c>
      <c r="M842" s="831" t="s">
        <v>1622</v>
      </c>
      <c r="N842" s="832" t="s">
        <v>1683</v>
      </c>
      <c r="O842" s="617"/>
      <c r="P842" s="403" t="s">
        <v>50</v>
      </c>
      <c r="Q842" s="2342">
        <f t="shared" si="96"/>
        <v>1</v>
      </c>
      <c r="R842" s="2343">
        <f t="shared" si="97"/>
        <v>10</v>
      </c>
      <c r="S842" s="2344"/>
      <c r="T842" s="2344"/>
      <c r="U842" s="2344"/>
      <c r="V842" s="2344"/>
      <c r="W842" s="2345"/>
      <c r="X842" s="2346"/>
      <c r="Y842" s="2347"/>
      <c r="Z842" s="2344"/>
      <c r="AA842" s="2344"/>
      <c r="AB842" s="2344"/>
      <c r="AC842" s="2344"/>
      <c r="AD842" s="2344"/>
      <c r="AE842" s="2347"/>
    </row>
    <row r="843" spans="1:31" ht="15">
      <c r="A843" s="282">
        <v>611</v>
      </c>
      <c r="B843" s="282">
        <v>32</v>
      </c>
      <c r="C843" s="283" t="s">
        <v>1685</v>
      </c>
      <c r="D843" s="282" t="s">
        <v>75</v>
      </c>
      <c r="E843" s="282" t="s">
        <v>47</v>
      </c>
      <c r="F843" s="612">
        <v>10</v>
      </c>
      <c r="G843" s="613">
        <f>10800*1.05</f>
        <v>11340</v>
      </c>
      <c r="H843" s="614">
        <f t="shared" si="94"/>
        <v>113400</v>
      </c>
      <c r="I843" s="829">
        <v>10</v>
      </c>
      <c r="J843" s="830">
        <v>13000</v>
      </c>
      <c r="K843" s="164">
        <f t="shared" si="98"/>
        <v>130000</v>
      </c>
      <c r="L843" s="304">
        <f t="shared" si="95"/>
        <v>1660</v>
      </c>
      <c r="M843" s="831" t="s">
        <v>1622</v>
      </c>
      <c r="N843" s="832" t="s">
        <v>1683</v>
      </c>
      <c r="O843" s="617"/>
      <c r="P843" s="403" t="s">
        <v>50</v>
      </c>
      <c r="Q843" s="2342">
        <f t="shared" si="96"/>
        <v>1</v>
      </c>
      <c r="R843" s="2343">
        <f t="shared" si="97"/>
        <v>10</v>
      </c>
      <c r="S843" s="2344"/>
      <c r="T843" s="2344"/>
      <c r="U843" s="2344"/>
      <c r="V843" s="2344"/>
      <c r="W843" s="2345"/>
      <c r="X843" s="2346"/>
      <c r="Y843" s="2347"/>
      <c r="Z843" s="2344"/>
      <c r="AA843" s="2344"/>
      <c r="AB843" s="2344"/>
      <c r="AC843" s="2344"/>
      <c r="AD843" s="2344"/>
      <c r="AE843" s="2347"/>
    </row>
    <row r="844" spans="1:31" ht="15">
      <c r="A844" s="282">
        <v>612</v>
      </c>
      <c r="B844" s="282">
        <v>33</v>
      </c>
      <c r="C844" s="283" t="s">
        <v>1686</v>
      </c>
      <c r="D844" s="282" t="s">
        <v>1284</v>
      </c>
      <c r="E844" s="282" t="s">
        <v>47</v>
      </c>
      <c r="F844" s="612">
        <v>5</v>
      </c>
      <c r="G844" s="613">
        <f>2990000*1.05</f>
        <v>3139500</v>
      </c>
      <c r="H844" s="614">
        <f t="shared" si="94"/>
        <v>15697500</v>
      </c>
      <c r="I844" s="829">
        <v>5</v>
      </c>
      <c r="J844" s="830">
        <v>3180000</v>
      </c>
      <c r="K844" s="164">
        <f t="shared" si="98"/>
        <v>15900000</v>
      </c>
      <c r="L844" s="304">
        <f t="shared" si="95"/>
        <v>40500</v>
      </c>
      <c r="M844" s="831" t="s">
        <v>1687</v>
      </c>
      <c r="N844" s="832" t="s">
        <v>1688</v>
      </c>
      <c r="O844" s="617"/>
      <c r="P844" s="403" t="s">
        <v>50</v>
      </c>
      <c r="Q844" s="2342">
        <f t="shared" si="96"/>
        <v>1</v>
      </c>
      <c r="R844" s="2343">
        <f t="shared" si="97"/>
        <v>5</v>
      </c>
      <c r="S844" s="2344"/>
      <c r="T844" s="2344"/>
      <c r="U844" s="2344"/>
      <c r="V844" s="2344"/>
      <c r="W844" s="2345"/>
      <c r="X844" s="2346"/>
      <c r="Y844" s="2347"/>
      <c r="Z844" s="2344"/>
      <c r="AA844" s="2344"/>
      <c r="AB844" s="2344"/>
      <c r="AC844" s="2344"/>
      <c r="AD844" s="2344"/>
      <c r="AE844" s="2347"/>
    </row>
    <row r="845" spans="1:31" ht="15">
      <c r="A845" s="282">
        <v>613</v>
      </c>
      <c r="B845" s="282">
        <v>34</v>
      </c>
      <c r="C845" s="283" t="s">
        <v>1689</v>
      </c>
      <c r="D845" s="282" t="s">
        <v>75</v>
      </c>
      <c r="E845" s="282" t="s">
        <v>47</v>
      </c>
      <c r="F845" s="612">
        <v>20</v>
      </c>
      <c r="G845" s="613">
        <f>31500</f>
        <v>31500</v>
      </c>
      <c r="H845" s="614">
        <f t="shared" si="94"/>
        <v>630000</v>
      </c>
      <c r="I845" s="829">
        <v>20</v>
      </c>
      <c r="J845" s="830">
        <v>33000</v>
      </c>
      <c r="K845" s="164">
        <f t="shared" si="98"/>
        <v>660000</v>
      </c>
      <c r="L845" s="304">
        <f t="shared" si="95"/>
        <v>1500</v>
      </c>
      <c r="M845" s="831" t="s">
        <v>1622</v>
      </c>
      <c r="N845" s="832" t="s">
        <v>1690</v>
      </c>
      <c r="O845" s="617"/>
      <c r="P845" s="403" t="s">
        <v>50</v>
      </c>
      <c r="Q845" s="2342">
        <f t="shared" si="96"/>
        <v>1</v>
      </c>
      <c r="R845" s="2343">
        <f t="shared" si="97"/>
        <v>20</v>
      </c>
      <c r="S845" s="2344"/>
      <c r="T845" s="2344"/>
      <c r="U845" s="2344"/>
      <c r="V845" s="2344"/>
      <c r="W845" s="2345"/>
      <c r="X845" s="2346"/>
      <c r="Y845" s="2347"/>
      <c r="Z845" s="2344"/>
      <c r="AA845" s="2344"/>
      <c r="AB845" s="2344"/>
      <c r="AC845" s="2344"/>
      <c r="AD845" s="2344"/>
      <c r="AE845" s="2347"/>
    </row>
    <row r="846" spans="1:31" ht="15">
      <c r="A846" s="833">
        <v>614</v>
      </c>
      <c r="B846" s="833">
        <v>35</v>
      </c>
      <c r="C846" s="514" t="s">
        <v>1691</v>
      </c>
      <c r="D846" s="833" t="s">
        <v>1284</v>
      </c>
      <c r="E846" s="833" t="s">
        <v>47</v>
      </c>
      <c r="F846" s="834">
        <v>1</v>
      </c>
      <c r="G846" s="835">
        <f>5100000*1.05</f>
        <v>5355000</v>
      </c>
      <c r="H846" s="836">
        <f t="shared" si="94"/>
        <v>5355000</v>
      </c>
      <c r="I846" s="837">
        <v>1</v>
      </c>
      <c r="J846" s="838">
        <v>5560000</v>
      </c>
      <c r="K846" s="175">
        <f t="shared" si="98"/>
        <v>5560000</v>
      </c>
      <c r="L846" s="784">
        <f t="shared" si="95"/>
        <v>205000</v>
      </c>
      <c r="M846" s="839" t="s">
        <v>1692</v>
      </c>
      <c r="N846" s="840" t="s">
        <v>1693</v>
      </c>
      <c r="O846" s="841"/>
      <c r="P846" s="786" t="s">
        <v>50</v>
      </c>
      <c r="Q846" s="2342">
        <f t="shared" si="96"/>
        <v>1</v>
      </c>
      <c r="R846" s="2343">
        <f t="shared" si="97"/>
        <v>1</v>
      </c>
      <c r="S846" s="2344"/>
      <c r="T846" s="2344"/>
      <c r="U846" s="2344"/>
      <c r="V846" s="2344"/>
      <c r="W846" s="2345"/>
      <c r="X846" s="2346"/>
      <c r="Y846" s="2347"/>
      <c r="Z846" s="2344"/>
      <c r="AA846" s="2344"/>
      <c r="AB846" s="2344"/>
      <c r="AC846" s="2344"/>
      <c r="AD846" s="2344"/>
      <c r="AE846" s="2347"/>
    </row>
    <row r="847" spans="1:31">
      <c r="A847" s="214"/>
      <c r="B847" s="214"/>
      <c r="C847" s="63" t="s">
        <v>1694</v>
      </c>
      <c r="D847" s="214"/>
      <c r="E847" s="214"/>
      <c r="F847" s="214"/>
      <c r="G847" s="215"/>
      <c r="H847" s="2283">
        <f>+SUM(H812:H846)</f>
        <v>81097200</v>
      </c>
      <c r="I847" s="248"/>
      <c r="J847" s="248"/>
      <c r="K847" s="216">
        <f>+SUM(K812:K846)</f>
        <v>83759000</v>
      </c>
      <c r="L847" s="248"/>
      <c r="M847" s="214"/>
      <c r="N847" s="214"/>
      <c r="O847" s="214"/>
      <c r="P847" s="142"/>
      <c r="Q847" s="115"/>
    </row>
    <row r="848" spans="1:31">
      <c r="A848" s="57"/>
      <c r="B848" s="2149" t="s">
        <v>1695</v>
      </c>
      <c r="C848" s="2149"/>
      <c r="D848" s="2149"/>
      <c r="E848" s="2149"/>
      <c r="F848" s="2149"/>
      <c r="G848" s="2149"/>
      <c r="H848" s="2149"/>
      <c r="I848" s="2149"/>
      <c r="J848" s="2149"/>
      <c r="K848" s="2149"/>
      <c r="L848" s="248"/>
      <c r="M848" s="247"/>
      <c r="N848" s="247"/>
      <c r="O848" s="247"/>
      <c r="P848" s="142"/>
      <c r="Q848" s="115"/>
    </row>
    <row r="850" spans="1:31">
      <c r="A850" s="71" t="s">
        <v>1696</v>
      </c>
    </row>
    <row r="852" spans="1:31" s="12" customFormat="1">
      <c r="A852" s="2092" t="s">
        <v>5</v>
      </c>
      <c r="B852" s="2092" t="s">
        <v>6</v>
      </c>
      <c r="C852" s="2094" t="s">
        <v>7</v>
      </c>
      <c r="D852" s="2096" t="s">
        <v>8</v>
      </c>
      <c r="E852" s="2092" t="s">
        <v>9</v>
      </c>
      <c r="F852" s="2098" t="s">
        <v>10</v>
      </c>
      <c r="G852" s="2098"/>
      <c r="H852" s="2098"/>
      <c r="I852" s="2098" t="s">
        <v>11</v>
      </c>
      <c r="J852" s="2098"/>
      <c r="K852" s="2098"/>
      <c r="L852" s="2099" t="s">
        <v>12</v>
      </c>
      <c r="M852" s="9"/>
      <c r="N852" s="9"/>
      <c r="O852" s="9"/>
      <c r="P852" s="2096" t="s">
        <v>13</v>
      </c>
      <c r="Q852" s="2265" t="s">
        <v>4740</v>
      </c>
      <c r="R852" s="2319" t="s">
        <v>4754</v>
      </c>
      <c r="S852" s="2267" t="s">
        <v>4767</v>
      </c>
      <c r="T852" s="2268"/>
      <c r="U852" s="2268"/>
      <c r="V852" s="2268"/>
      <c r="W852" s="2269"/>
      <c r="X852" s="2267" t="s">
        <v>4768</v>
      </c>
      <c r="Y852" s="2268"/>
      <c r="Z852" s="2268"/>
      <c r="AA852" s="2268"/>
      <c r="AB852" s="2268"/>
      <c r="AC852" s="2268"/>
      <c r="AD852" s="2268"/>
      <c r="AE852" s="2269"/>
    </row>
    <row r="853" spans="1:31" s="16" customFormat="1" ht="27">
      <c r="A853" s="2093"/>
      <c r="B853" s="2093"/>
      <c r="C853" s="2095"/>
      <c r="D853" s="2097"/>
      <c r="E853" s="2093"/>
      <c r="F853" s="13" t="s">
        <v>14</v>
      </c>
      <c r="G853" s="13" t="s">
        <v>15</v>
      </c>
      <c r="H853" s="13" t="s">
        <v>16</v>
      </c>
      <c r="I853" s="13" t="s">
        <v>14</v>
      </c>
      <c r="J853" s="13" t="s">
        <v>15</v>
      </c>
      <c r="K853" s="13" t="s">
        <v>16</v>
      </c>
      <c r="L853" s="2100"/>
      <c r="M853" s="14" t="s">
        <v>17</v>
      </c>
      <c r="N853" s="14" t="s">
        <v>18</v>
      </c>
      <c r="O853" s="14" t="s">
        <v>19</v>
      </c>
      <c r="P853" s="2097"/>
      <c r="Q853" s="2266"/>
      <c r="R853" s="2320"/>
      <c r="S853" s="2263" t="s">
        <v>4755</v>
      </c>
      <c r="T853" s="2263" t="s">
        <v>4756</v>
      </c>
      <c r="U853" s="2263" t="s">
        <v>4757</v>
      </c>
      <c r="V853" s="2263" t="s">
        <v>4758</v>
      </c>
      <c r="W853" s="2263" t="s">
        <v>4759</v>
      </c>
      <c r="X853" s="2264" t="s">
        <v>4760</v>
      </c>
      <c r="Y853" s="2264" t="s">
        <v>4761</v>
      </c>
      <c r="Z853" s="2264" t="s">
        <v>4762</v>
      </c>
      <c r="AA853" s="2264" t="s">
        <v>4763</v>
      </c>
      <c r="AB853" s="2264" t="s">
        <v>4764</v>
      </c>
      <c r="AC853" s="2264" t="s">
        <v>4765</v>
      </c>
      <c r="AD853" s="2264" t="s">
        <v>4766</v>
      </c>
      <c r="AE853" s="2264" t="s">
        <v>4755</v>
      </c>
    </row>
    <row r="854" spans="1:31" s="70" customFormat="1">
      <c r="A854" s="331">
        <v>1</v>
      </c>
      <c r="B854" s="331">
        <v>2</v>
      </c>
      <c r="C854" s="63">
        <v>3</v>
      </c>
      <c r="D854" s="331">
        <v>4</v>
      </c>
      <c r="E854" s="331">
        <v>5</v>
      </c>
      <c r="F854" s="57">
        <v>6</v>
      </c>
      <c r="G854" s="57">
        <v>7</v>
      </c>
      <c r="H854" s="331">
        <v>8</v>
      </c>
      <c r="I854" s="331">
        <v>9</v>
      </c>
      <c r="J854" s="331">
        <v>10</v>
      </c>
      <c r="K854" s="331">
        <v>11</v>
      </c>
      <c r="L854" s="331">
        <v>12</v>
      </c>
      <c r="M854" s="331">
        <v>9</v>
      </c>
      <c r="N854" s="331">
        <v>10</v>
      </c>
      <c r="O854" s="331">
        <v>11</v>
      </c>
      <c r="P854" s="331">
        <v>13</v>
      </c>
      <c r="Q854" s="332"/>
      <c r="R854" s="2321"/>
      <c r="S854" s="485"/>
    </row>
    <row r="855" spans="1:31" ht="18">
      <c r="A855" s="272">
        <v>615</v>
      </c>
      <c r="B855" s="274">
        <v>1</v>
      </c>
      <c r="C855" s="273" t="s">
        <v>1697</v>
      </c>
      <c r="D855" s="272" t="s">
        <v>1698</v>
      </c>
      <c r="E855" s="272" t="s">
        <v>47</v>
      </c>
      <c r="F855" s="842">
        <v>90</v>
      </c>
      <c r="G855" s="843">
        <v>6000000</v>
      </c>
      <c r="H855" s="844">
        <f>F855*G855</f>
        <v>540000000</v>
      </c>
      <c r="I855" s="277">
        <v>90</v>
      </c>
      <c r="J855" s="608">
        <v>6300000</v>
      </c>
      <c r="K855" s="278">
        <f>I855*J855</f>
        <v>567000000</v>
      </c>
      <c r="L855" s="397">
        <f t="shared" ref="L855:L868" si="99">J855-G855</f>
        <v>300000</v>
      </c>
      <c r="M855" s="274" t="s">
        <v>1699</v>
      </c>
      <c r="N855" s="797" t="s">
        <v>1700</v>
      </c>
      <c r="O855" s="274">
        <v>4</v>
      </c>
      <c r="P855" s="400" t="s">
        <v>721</v>
      </c>
      <c r="Q855" s="2337">
        <f>R855/F855</f>
        <v>1</v>
      </c>
      <c r="R855" s="2332">
        <f>+F855-(S855+T855+U855+W855+X855+Y855+Z855+AA855+AB855+AC855+AD855+AE855)</f>
        <v>90</v>
      </c>
      <c r="S855" s="2338"/>
      <c r="T855" s="2338"/>
      <c r="U855" s="2338"/>
      <c r="V855" s="2338"/>
      <c r="W855" s="2339"/>
      <c r="X855" s="2340"/>
      <c r="Y855" s="2341"/>
      <c r="Z855" s="2338"/>
      <c r="AA855" s="2338"/>
      <c r="AB855" s="2338"/>
      <c r="AC855" s="2338"/>
      <c r="AD855" s="2338"/>
      <c r="AE855" s="2341"/>
    </row>
    <row r="856" spans="1:31" ht="27">
      <c r="A856" s="282">
        <v>616</v>
      </c>
      <c r="B856" s="284">
        <v>2</v>
      </c>
      <c r="C856" s="283" t="s">
        <v>1701</v>
      </c>
      <c r="D856" s="282" t="s">
        <v>1698</v>
      </c>
      <c r="E856" s="282" t="s">
        <v>47</v>
      </c>
      <c r="F856" s="845">
        <v>10</v>
      </c>
      <c r="G856" s="846">
        <v>7400000</v>
      </c>
      <c r="H856" s="689">
        <f t="shared" ref="H856:H868" si="100">F856*G856</f>
        <v>74000000</v>
      </c>
      <c r="I856" s="287">
        <v>10</v>
      </c>
      <c r="J856" s="495">
        <v>7500000</v>
      </c>
      <c r="K856" s="164">
        <f t="shared" ref="K856:K868" si="101">I856*J856</f>
        <v>75000000</v>
      </c>
      <c r="L856" s="304">
        <f t="shared" si="99"/>
        <v>100000</v>
      </c>
      <c r="M856" s="284" t="s">
        <v>1702</v>
      </c>
      <c r="N856" s="804" t="s">
        <v>1703</v>
      </c>
      <c r="O856" s="284">
        <v>4</v>
      </c>
      <c r="P856" s="403" t="s">
        <v>721</v>
      </c>
      <c r="Q856" s="2342">
        <f t="shared" ref="Q856:Q868" si="102">R856/F856</f>
        <v>1</v>
      </c>
      <c r="R856" s="2343">
        <f t="shared" ref="R856:R868" si="103">+F856-(S856+T856+U856+W856+X856+Y856+Z856+AA856+AB856+AC856+AD856+AE856)</f>
        <v>10</v>
      </c>
      <c r="S856" s="2344"/>
      <c r="T856" s="2344"/>
      <c r="U856" s="2344"/>
      <c r="V856" s="2344"/>
      <c r="W856" s="2345"/>
      <c r="X856" s="2346"/>
      <c r="Y856" s="2347"/>
      <c r="Z856" s="2344"/>
      <c r="AA856" s="2344"/>
      <c r="AB856" s="2344"/>
      <c r="AC856" s="2344"/>
      <c r="AD856" s="2344"/>
      <c r="AE856" s="2347"/>
    </row>
    <row r="857" spans="1:31" ht="18">
      <c r="A857" s="282">
        <v>617</v>
      </c>
      <c r="B857" s="284">
        <v>3</v>
      </c>
      <c r="C857" s="283" t="s">
        <v>1704</v>
      </c>
      <c r="D857" s="282" t="s">
        <v>1698</v>
      </c>
      <c r="E857" s="282" t="s">
        <v>47</v>
      </c>
      <c r="F857" s="845">
        <v>10</v>
      </c>
      <c r="G857" s="846">
        <v>11000000</v>
      </c>
      <c r="H857" s="689">
        <f t="shared" si="100"/>
        <v>110000000</v>
      </c>
      <c r="I857" s="287">
        <v>10</v>
      </c>
      <c r="J857" s="495">
        <v>11500000</v>
      </c>
      <c r="K857" s="164">
        <f t="shared" si="101"/>
        <v>115000000</v>
      </c>
      <c r="L857" s="304">
        <f t="shared" si="99"/>
        <v>500000</v>
      </c>
      <c r="M857" s="284" t="s">
        <v>1699</v>
      </c>
      <c r="N857" s="804" t="s">
        <v>1705</v>
      </c>
      <c r="O857" s="284">
        <v>4</v>
      </c>
      <c r="P857" s="403" t="s">
        <v>721</v>
      </c>
      <c r="Q857" s="2342">
        <f t="shared" si="102"/>
        <v>1</v>
      </c>
      <c r="R857" s="2343">
        <f t="shared" si="103"/>
        <v>10</v>
      </c>
      <c r="S857" s="2344"/>
      <c r="T857" s="2344"/>
      <c r="U857" s="2344"/>
      <c r="V857" s="2344"/>
      <c r="W857" s="2345"/>
      <c r="X857" s="2346"/>
      <c r="Y857" s="2347"/>
      <c r="Z857" s="2344"/>
      <c r="AA857" s="2344"/>
      <c r="AB857" s="2344"/>
      <c r="AC857" s="2344"/>
      <c r="AD857" s="2344"/>
      <c r="AE857" s="2347"/>
    </row>
    <row r="858" spans="1:31" ht="18">
      <c r="A858" s="282">
        <v>618</v>
      </c>
      <c r="B858" s="284">
        <v>4</v>
      </c>
      <c r="C858" s="283" t="s">
        <v>1706</v>
      </c>
      <c r="D858" s="282" t="s">
        <v>1698</v>
      </c>
      <c r="E858" s="282" t="s">
        <v>47</v>
      </c>
      <c r="F858" s="845">
        <v>10</v>
      </c>
      <c r="G858" s="846">
        <v>2000000</v>
      </c>
      <c r="H858" s="689">
        <f t="shared" si="100"/>
        <v>20000000</v>
      </c>
      <c r="I858" s="287">
        <v>10</v>
      </c>
      <c r="J858" s="495">
        <v>2100000</v>
      </c>
      <c r="K858" s="164">
        <f t="shared" si="101"/>
        <v>21000000</v>
      </c>
      <c r="L858" s="304">
        <f t="shared" si="99"/>
        <v>100000</v>
      </c>
      <c r="M858" s="284" t="s">
        <v>1699</v>
      </c>
      <c r="N858" s="804" t="s">
        <v>1707</v>
      </c>
      <c r="O858" s="284" t="s">
        <v>1708</v>
      </c>
      <c r="P858" s="403" t="s">
        <v>721</v>
      </c>
      <c r="Q858" s="2342">
        <f t="shared" si="102"/>
        <v>1</v>
      </c>
      <c r="R858" s="2343">
        <f t="shared" si="103"/>
        <v>10</v>
      </c>
      <c r="S858" s="2344"/>
      <c r="T858" s="2344"/>
      <c r="U858" s="2344"/>
      <c r="V858" s="2344"/>
      <c r="W858" s="2345"/>
      <c r="X858" s="2346"/>
      <c r="Y858" s="2347"/>
      <c r="Z858" s="2344"/>
      <c r="AA858" s="2344"/>
      <c r="AB858" s="2344"/>
      <c r="AC858" s="2344"/>
      <c r="AD858" s="2344"/>
      <c r="AE858" s="2347"/>
    </row>
    <row r="859" spans="1:31" ht="18">
      <c r="A859" s="282">
        <v>619</v>
      </c>
      <c r="B859" s="284">
        <v>5</v>
      </c>
      <c r="C859" s="283" t="s">
        <v>1709</v>
      </c>
      <c r="D859" s="282" t="s">
        <v>1698</v>
      </c>
      <c r="E859" s="282" t="s">
        <v>47</v>
      </c>
      <c r="F859" s="845">
        <v>100</v>
      </c>
      <c r="G859" s="846">
        <v>10000000</v>
      </c>
      <c r="H859" s="689">
        <f t="shared" si="100"/>
        <v>1000000000</v>
      </c>
      <c r="I859" s="287">
        <v>100</v>
      </c>
      <c r="J859" s="495">
        <v>10500000</v>
      </c>
      <c r="K859" s="164">
        <f t="shared" si="101"/>
        <v>1050000000</v>
      </c>
      <c r="L859" s="304">
        <f t="shared" si="99"/>
        <v>500000</v>
      </c>
      <c r="M859" s="284" t="s">
        <v>1699</v>
      </c>
      <c r="N859" s="847" t="s">
        <v>1710</v>
      </c>
      <c r="O859" s="284">
        <v>4</v>
      </c>
      <c r="P859" s="403" t="s">
        <v>721</v>
      </c>
      <c r="Q859" s="2342">
        <f t="shared" si="102"/>
        <v>1</v>
      </c>
      <c r="R859" s="2343">
        <f t="shared" si="103"/>
        <v>100</v>
      </c>
      <c r="S859" s="2344"/>
      <c r="T859" s="2344"/>
      <c r="U859" s="2344"/>
      <c r="V859" s="2344"/>
      <c r="W859" s="2345"/>
      <c r="X859" s="2346"/>
      <c r="Y859" s="2347"/>
      <c r="Z859" s="2344"/>
      <c r="AA859" s="2344"/>
      <c r="AB859" s="2344"/>
      <c r="AC859" s="2344"/>
      <c r="AD859" s="2344"/>
      <c r="AE859" s="2347"/>
    </row>
    <row r="860" spans="1:31" ht="27">
      <c r="A860" s="282">
        <v>620</v>
      </c>
      <c r="B860" s="284">
        <v>6</v>
      </c>
      <c r="C860" s="283" t="s">
        <v>1711</v>
      </c>
      <c r="D860" s="282" t="s">
        <v>1698</v>
      </c>
      <c r="E860" s="282" t="s">
        <v>47</v>
      </c>
      <c r="F860" s="845">
        <v>120</v>
      </c>
      <c r="G860" s="846">
        <v>2500000</v>
      </c>
      <c r="H860" s="689">
        <f t="shared" si="100"/>
        <v>300000000</v>
      </c>
      <c r="I860" s="287">
        <v>120</v>
      </c>
      <c r="J860" s="495">
        <v>2605000</v>
      </c>
      <c r="K860" s="164">
        <f t="shared" si="101"/>
        <v>312600000</v>
      </c>
      <c r="L860" s="304">
        <f t="shared" si="99"/>
        <v>105000</v>
      </c>
      <c r="M860" s="284" t="s">
        <v>1712</v>
      </c>
      <c r="N860" s="847" t="s">
        <v>1713</v>
      </c>
      <c r="O860" s="284" t="s">
        <v>1708</v>
      </c>
      <c r="P860" s="403" t="s">
        <v>721</v>
      </c>
      <c r="Q860" s="2342">
        <f t="shared" si="102"/>
        <v>1</v>
      </c>
      <c r="R860" s="2343">
        <f t="shared" si="103"/>
        <v>120</v>
      </c>
      <c r="S860" s="2344"/>
      <c r="T860" s="2344"/>
      <c r="U860" s="2344"/>
      <c r="V860" s="2344"/>
      <c r="W860" s="2345"/>
      <c r="X860" s="2346"/>
      <c r="Y860" s="2347"/>
      <c r="Z860" s="2344"/>
      <c r="AA860" s="2344"/>
      <c r="AB860" s="2344"/>
      <c r="AC860" s="2344"/>
      <c r="AD860" s="2344"/>
      <c r="AE860" s="2347"/>
    </row>
    <row r="861" spans="1:31" ht="18">
      <c r="A861" s="282">
        <v>621</v>
      </c>
      <c r="B861" s="284">
        <v>7</v>
      </c>
      <c r="C861" s="283" t="s">
        <v>1714</v>
      </c>
      <c r="D861" s="282" t="s">
        <v>1698</v>
      </c>
      <c r="E861" s="282" t="s">
        <v>47</v>
      </c>
      <c r="F861" s="845">
        <v>120</v>
      </c>
      <c r="G861" s="846">
        <v>6000000</v>
      </c>
      <c r="H861" s="689">
        <f t="shared" si="100"/>
        <v>720000000</v>
      </c>
      <c r="I861" s="287">
        <v>120</v>
      </c>
      <c r="J861" s="495">
        <v>6300000</v>
      </c>
      <c r="K861" s="164">
        <f t="shared" si="101"/>
        <v>756000000</v>
      </c>
      <c r="L861" s="304">
        <f t="shared" si="99"/>
        <v>300000</v>
      </c>
      <c r="M861" s="284" t="s">
        <v>1699</v>
      </c>
      <c r="N861" s="804" t="s">
        <v>1715</v>
      </c>
      <c r="O861" s="284">
        <v>4</v>
      </c>
      <c r="P861" s="403" t="s">
        <v>721</v>
      </c>
      <c r="Q861" s="2342">
        <f t="shared" si="102"/>
        <v>1</v>
      </c>
      <c r="R861" s="2343">
        <f t="shared" si="103"/>
        <v>120</v>
      </c>
      <c r="S861" s="2344"/>
      <c r="T861" s="2344"/>
      <c r="U861" s="2344"/>
      <c r="V861" s="2344"/>
      <c r="W861" s="2345"/>
      <c r="X861" s="2346"/>
      <c r="Y861" s="2347"/>
      <c r="Z861" s="2344"/>
      <c r="AA861" s="2344"/>
      <c r="AB861" s="2344"/>
      <c r="AC861" s="2344"/>
      <c r="AD861" s="2344"/>
      <c r="AE861" s="2347"/>
    </row>
    <row r="862" spans="1:31" ht="36">
      <c r="A862" s="282">
        <v>622</v>
      </c>
      <c r="B862" s="284">
        <v>8</v>
      </c>
      <c r="C862" s="283" t="s">
        <v>1716</v>
      </c>
      <c r="D862" s="282" t="s">
        <v>1698</v>
      </c>
      <c r="E862" s="282" t="s">
        <v>47</v>
      </c>
      <c r="F862" s="845">
        <v>120</v>
      </c>
      <c r="G862" s="846">
        <v>9000000</v>
      </c>
      <c r="H862" s="689">
        <f t="shared" si="100"/>
        <v>1080000000</v>
      </c>
      <c r="I862" s="287">
        <v>120</v>
      </c>
      <c r="J862" s="495">
        <v>9400000</v>
      </c>
      <c r="K862" s="164">
        <f t="shared" si="101"/>
        <v>1128000000</v>
      </c>
      <c r="L862" s="304">
        <f t="shared" si="99"/>
        <v>400000</v>
      </c>
      <c r="M862" s="284" t="s">
        <v>1717</v>
      </c>
      <c r="N862" s="847" t="s">
        <v>1718</v>
      </c>
      <c r="O862" s="284">
        <v>4</v>
      </c>
      <c r="P862" s="403" t="s">
        <v>721</v>
      </c>
      <c r="Q862" s="2342">
        <f t="shared" si="102"/>
        <v>1</v>
      </c>
      <c r="R862" s="2343">
        <f t="shared" si="103"/>
        <v>120</v>
      </c>
      <c r="S862" s="2344"/>
      <c r="T862" s="2344"/>
      <c r="U862" s="2344"/>
      <c r="V862" s="2344"/>
      <c r="W862" s="2345"/>
      <c r="X862" s="2346"/>
      <c r="Y862" s="2347"/>
      <c r="Z862" s="2344"/>
      <c r="AA862" s="2344"/>
      <c r="AB862" s="2344"/>
      <c r="AC862" s="2344"/>
      <c r="AD862" s="2344"/>
      <c r="AE862" s="2347"/>
    </row>
    <row r="863" spans="1:31" ht="18">
      <c r="A863" s="282">
        <v>623</v>
      </c>
      <c r="B863" s="284">
        <v>9</v>
      </c>
      <c r="C863" s="283" t="s">
        <v>1719</v>
      </c>
      <c r="D863" s="282" t="s">
        <v>1698</v>
      </c>
      <c r="E863" s="282" t="s">
        <v>47</v>
      </c>
      <c r="F863" s="845">
        <v>20</v>
      </c>
      <c r="G863" s="846">
        <v>8000000</v>
      </c>
      <c r="H863" s="689">
        <f t="shared" si="100"/>
        <v>160000000</v>
      </c>
      <c r="I863" s="287">
        <v>20</v>
      </c>
      <c r="J863" s="495">
        <v>12000000</v>
      </c>
      <c r="K863" s="164">
        <f t="shared" si="101"/>
        <v>240000000</v>
      </c>
      <c r="L863" s="304">
        <f t="shared" si="99"/>
        <v>4000000</v>
      </c>
      <c r="M863" s="284" t="s">
        <v>1699</v>
      </c>
      <c r="N863" s="847" t="s">
        <v>1720</v>
      </c>
      <c r="O863" s="284">
        <v>4</v>
      </c>
      <c r="P863" s="403" t="s">
        <v>721</v>
      </c>
      <c r="Q863" s="2342">
        <f t="shared" si="102"/>
        <v>1</v>
      </c>
      <c r="R863" s="2343">
        <f t="shared" si="103"/>
        <v>20</v>
      </c>
      <c r="S863" s="2344"/>
      <c r="T863" s="2344"/>
      <c r="U863" s="2344"/>
      <c r="V863" s="2344"/>
      <c r="W863" s="2345"/>
      <c r="X863" s="2346"/>
      <c r="Y863" s="2347"/>
      <c r="Z863" s="2344"/>
      <c r="AA863" s="2344"/>
      <c r="AB863" s="2344"/>
      <c r="AC863" s="2344"/>
      <c r="AD863" s="2344"/>
      <c r="AE863" s="2347"/>
    </row>
    <row r="864" spans="1:31" s="505" customFormat="1" ht="18">
      <c r="A864" s="282">
        <v>624</v>
      </c>
      <c r="B864" s="284">
        <v>10</v>
      </c>
      <c r="C864" s="283" t="s">
        <v>1721</v>
      </c>
      <c r="D864" s="282" t="s">
        <v>1698</v>
      </c>
      <c r="E864" s="282" t="s">
        <v>47</v>
      </c>
      <c r="F864" s="845">
        <v>10</v>
      </c>
      <c r="G864" s="848">
        <v>1000000</v>
      </c>
      <c r="H864" s="849">
        <f t="shared" si="100"/>
        <v>10000000</v>
      </c>
      <c r="I864" s="287">
        <v>10</v>
      </c>
      <c r="J864" s="303">
        <v>1050000</v>
      </c>
      <c r="K864" s="850">
        <f t="shared" si="101"/>
        <v>10500000</v>
      </c>
      <c r="L864" s="304">
        <f t="shared" si="99"/>
        <v>50000</v>
      </c>
      <c r="M864" s="284" t="s">
        <v>1699</v>
      </c>
      <c r="N864" s="847" t="s">
        <v>1722</v>
      </c>
      <c r="O864" s="284" t="s">
        <v>1708</v>
      </c>
      <c r="P864" s="403" t="s">
        <v>721</v>
      </c>
      <c r="Q864" s="2342">
        <f t="shared" si="102"/>
        <v>1</v>
      </c>
      <c r="R864" s="2343">
        <f t="shared" si="103"/>
        <v>10</v>
      </c>
      <c r="S864" s="2344"/>
      <c r="T864" s="2344"/>
      <c r="U864" s="2344"/>
      <c r="V864" s="2344"/>
      <c r="W864" s="2345"/>
      <c r="X864" s="2346"/>
      <c r="Y864" s="2347"/>
      <c r="Z864" s="2344"/>
      <c r="AA864" s="2344"/>
      <c r="AB864" s="2344"/>
      <c r="AC864" s="2344"/>
      <c r="AD864" s="2344"/>
      <c r="AE864" s="2347"/>
    </row>
    <row r="865" spans="1:31" ht="18">
      <c r="A865" s="282">
        <v>625</v>
      </c>
      <c r="B865" s="284">
        <v>11</v>
      </c>
      <c r="C865" s="283" t="s">
        <v>1723</v>
      </c>
      <c r="D865" s="282" t="s">
        <v>1698</v>
      </c>
      <c r="E865" s="282" t="s">
        <v>47</v>
      </c>
      <c r="F865" s="845">
        <v>5</v>
      </c>
      <c r="G865" s="846">
        <v>2500000</v>
      </c>
      <c r="H865" s="689">
        <f t="shared" si="100"/>
        <v>12500000</v>
      </c>
      <c r="I865" s="287">
        <v>5</v>
      </c>
      <c r="J865" s="495">
        <v>2605000</v>
      </c>
      <c r="K865" s="164">
        <f t="shared" si="101"/>
        <v>13025000</v>
      </c>
      <c r="L865" s="304">
        <f t="shared" si="99"/>
        <v>105000</v>
      </c>
      <c r="M865" s="284" t="s">
        <v>1724</v>
      </c>
      <c r="N865" s="851" t="s">
        <v>1725</v>
      </c>
      <c r="O865" s="284" t="s">
        <v>1708</v>
      </c>
      <c r="P865" s="403" t="s">
        <v>721</v>
      </c>
      <c r="Q865" s="2342">
        <f t="shared" si="102"/>
        <v>1</v>
      </c>
      <c r="R865" s="2343">
        <f t="shared" si="103"/>
        <v>5</v>
      </c>
      <c r="S865" s="2344"/>
      <c r="T865" s="2344"/>
      <c r="U865" s="2344"/>
      <c r="V865" s="2344"/>
      <c r="W865" s="2345"/>
      <c r="X865" s="2346"/>
      <c r="Y865" s="2347"/>
      <c r="Z865" s="2344"/>
      <c r="AA865" s="2344"/>
      <c r="AB865" s="2344"/>
      <c r="AC865" s="2344"/>
      <c r="AD865" s="2344"/>
      <c r="AE865" s="2347"/>
    </row>
    <row r="866" spans="1:31" ht="18">
      <c r="A866" s="282">
        <v>626</v>
      </c>
      <c r="B866" s="284">
        <v>12</v>
      </c>
      <c r="C866" s="283" t="s">
        <v>1726</v>
      </c>
      <c r="D866" s="282" t="s">
        <v>1727</v>
      </c>
      <c r="E866" s="282" t="s">
        <v>47</v>
      </c>
      <c r="F866" s="845">
        <v>5</v>
      </c>
      <c r="G866" s="846">
        <v>250000</v>
      </c>
      <c r="H866" s="846">
        <f t="shared" si="100"/>
        <v>1250000</v>
      </c>
      <c r="I866" s="846">
        <v>5</v>
      </c>
      <c r="J866" s="846">
        <v>360000</v>
      </c>
      <c r="K866" s="846">
        <f t="shared" si="101"/>
        <v>1800000</v>
      </c>
      <c r="L866" s="846">
        <f t="shared" si="99"/>
        <v>110000</v>
      </c>
      <c r="M866" s="846" t="s">
        <v>1724</v>
      </c>
      <c r="N866" s="846" t="s">
        <v>1728</v>
      </c>
      <c r="O866" s="846" t="s">
        <v>1708</v>
      </c>
      <c r="P866" s="689" t="s">
        <v>721</v>
      </c>
      <c r="Q866" s="2342">
        <f t="shared" si="102"/>
        <v>1</v>
      </c>
      <c r="R866" s="2343">
        <f t="shared" si="103"/>
        <v>5</v>
      </c>
      <c r="S866" s="2344"/>
      <c r="T866" s="2344"/>
      <c r="U866" s="2344"/>
      <c r="V866" s="2344"/>
      <c r="W866" s="2345"/>
      <c r="X866" s="2346"/>
      <c r="Y866" s="2347"/>
      <c r="Z866" s="2344"/>
      <c r="AA866" s="2344"/>
      <c r="AB866" s="2344"/>
      <c r="AC866" s="2344"/>
      <c r="AD866" s="2344"/>
      <c r="AE866" s="2347"/>
    </row>
    <row r="867" spans="1:31" ht="18">
      <c r="A867" s="282">
        <v>627</v>
      </c>
      <c r="B867" s="284">
        <v>13</v>
      </c>
      <c r="C867" s="283" t="s">
        <v>1729</v>
      </c>
      <c r="D867" s="282" t="s">
        <v>132</v>
      </c>
      <c r="E867" s="282" t="s">
        <v>47</v>
      </c>
      <c r="F867" s="852">
        <v>2000</v>
      </c>
      <c r="G867" s="846">
        <v>10000</v>
      </c>
      <c r="H867" s="689">
        <f t="shared" si="100"/>
        <v>20000000</v>
      </c>
      <c r="I867" s="287">
        <v>2000</v>
      </c>
      <c r="J867" s="495">
        <v>11000</v>
      </c>
      <c r="K867" s="164">
        <f t="shared" si="101"/>
        <v>22000000</v>
      </c>
      <c r="L867" s="304">
        <f t="shared" si="99"/>
        <v>1000</v>
      </c>
      <c r="M867" s="403" t="s">
        <v>1730</v>
      </c>
      <c r="N867" s="282">
        <v>4628</v>
      </c>
      <c r="O867" s="284" t="s">
        <v>1731</v>
      </c>
      <c r="P867" s="403" t="s">
        <v>721</v>
      </c>
      <c r="Q867" s="2342">
        <f t="shared" si="102"/>
        <v>1</v>
      </c>
      <c r="R867" s="2343">
        <f t="shared" si="103"/>
        <v>2000</v>
      </c>
      <c r="S867" s="2344"/>
      <c r="T867" s="2344"/>
      <c r="U867" s="2344"/>
      <c r="V867" s="2344"/>
      <c r="W867" s="2345"/>
      <c r="X867" s="2346"/>
      <c r="Y867" s="2347"/>
      <c r="Z867" s="2344"/>
      <c r="AA867" s="2344"/>
      <c r="AB867" s="2344"/>
      <c r="AC867" s="2344"/>
      <c r="AD867" s="2344"/>
      <c r="AE867" s="2347"/>
    </row>
    <row r="868" spans="1:31" ht="18">
      <c r="A868" s="833">
        <v>628</v>
      </c>
      <c r="B868" s="513">
        <v>14</v>
      </c>
      <c r="C868" s="514" t="s">
        <v>1732</v>
      </c>
      <c r="D868" s="833" t="s">
        <v>1733</v>
      </c>
      <c r="E868" s="833" t="s">
        <v>452</v>
      </c>
      <c r="F868" s="853">
        <v>2</v>
      </c>
      <c r="G868" s="854">
        <v>6000000</v>
      </c>
      <c r="H868" s="855">
        <f t="shared" si="100"/>
        <v>12000000</v>
      </c>
      <c r="I868" s="816">
        <v>2</v>
      </c>
      <c r="J868" s="856">
        <v>6200000</v>
      </c>
      <c r="K868" s="175">
        <f t="shared" si="101"/>
        <v>12400000</v>
      </c>
      <c r="L868" s="784">
        <f t="shared" si="99"/>
        <v>200000</v>
      </c>
      <c r="M868" s="513" t="s">
        <v>1734</v>
      </c>
      <c r="N868" s="857" t="s">
        <v>1735</v>
      </c>
      <c r="O868" s="513" t="s">
        <v>1708</v>
      </c>
      <c r="P868" s="786" t="s">
        <v>721</v>
      </c>
      <c r="Q868" s="2348">
        <f t="shared" si="102"/>
        <v>1</v>
      </c>
      <c r="R868" s="2349">
        <f t="shared" si="103"/>
        <v>2</v>
      </c>
      <c r="S868" s="2350"/>
      <c r="T868" s="2350"/>
      <c r="U868" s="2350"/>
      <c r="V868" s="2350"/>
      <c r="W868" s="2351"/>
      <c r="X868" s="2352"/>
      <c r="Y868" s="2353"/>
      <c r="Z868" s="2350"/>
      <c r="AA868" s="2350"/>
      <c r="AB868" s="2350"/>
      <c r="AC868" s="2350"/>
      <c r="AD868" s="2350"/>
      <c r="AE868" s="2353"/>
    </row>
    <row r="869" spans="1:31">
      <c r="A869" s="2151" t="s">
        <v>805</v>
      </c>
      <c r="B869" s="2151"/>
      <c r="C869" s="2151"/>
      <c r="D869" s="2151"/>
      <c r="E869" s="2151"/>
      <c r="F869" s="2151"/>
      <c r="G869" s="2151"/>
      <c r="H869" s="2304">
        <f>SUM(H855:H868)</f>
        <v>4059750000</v>
      </c>
      <c r="I869" s="248"/>
      <c r="J869" s="248"/>
      <c r="K869" s="858">
        <f>SUM(K855:K868)</f>
        <v>4324325000</v>
      </c>
      <c r="L869" s="248"/>
      <c r="M869" s="859"/>
      <c r="N869" s="246"/>
      <c r="O869" s="860"/>
      <c r="P869" s="142"/>
      <c r="Q869" s="115"/>
    </row>
    <row r="870" spans="1:31">
      <c r="C870" s="72" t="s">
        <v>1736</v>
      </c>
    </row>
    <row r="872" spans="1:31">
      <c r="A872" s="71" t="s">
        <v>1737</v>
      </c>
    </row>
    <row r="874" spans="1:31" s="12" customFormat="1">
      <c r="A874" s="2092" t="s">
        <v>5</v>
      </c>
      <c r="B874" s="2092" t="s">
        <v>6</v>
      </c>
      <c r="C874" s="2094" t="s">
        <v>7</v>
      </c>
      <c r="D874" s="2096" t="s">
        <v>8</v>
      </c>
      <c r="E874" s="2092" t="s">
        <v>9</v>
      </c>
      <c r="F874" s="2098" t="s">
        <v>10</v>
      </c>
      <c r="G874" s="2098"/>
      <c r="H874" s="2098"/>
      <c r="I874" s="2098" t="s">
        <v>11</v>
      </c>
      <c r="J874" s="2098"/>
      <c r="K874" s="2098"/>
      <c r="L874" s="2099" t="s">
        <v>12</v>
      </c>
      <c r="M874" s="9"/>
      <c r="N874" s="9"/>
      <c r="O874" s="9"/>
      <c r="P874" s="2101" t="s">
        <v>13</v>
      </c>
      <c r="Q874" s="2265" t="s">
        <v>4740</v>
      </c>
      <c r="R874" s="2319" t="s">
        <v>4754</v>
      </c>
      <c r="S874" s="2267" t="s">
        <v>4767</v>
      </c>
      <c r="T874" s="2268"/>
      <c r="U874" s="2268"/>
      <c r="V874" s="2268"/>
      <c r="W874" s="2269"/>
      <c r="X874" s="2267" t="s">
        <v>4768</v>
      </c>
      <c r="Y874" s="2268"/>
      <c r="Z874" s="2268"/>
      <c r="AA874" s="2268"/>
      <c r="AB874" s="2268"/>
      <c r="AC874" s="2268"/>
      <c r="AD874" s="2268"/>
      <c r="AE874" s="2269"/>
    </row>
    <row r="875" spans="1:31" s="16" customFormat="1" ht="27">
      <c r="A875" s="2093"/>
      <c r="B875" s="2093"/>
      <c r="C875" s="2095"/>
      <c r="D875" s="2097"/>
      <c r="E875" s="2093"/>
      <c r="F875" s="13" t="s">
        <v>14</v>
      </c>
      <c r="G875" s="13" t="s">
        <v>15</v>
      </c>
      <c r="H875" s="13" t="s">
        <v>16</v>
      </c>
      <c r="I875" s="13" t="s">
        <v>14</v>
      </c>
      <c r="J875" s="13" t="s">
        <v>15</v>
      </c>
      <c r="K875" s="13" t="s">
        <v>16</v>
      </c>
      <c r="L875" s="2100"/>
      <c r="M875" s="14" t="s">
        <v>17</v>
      </c>
      <c r="N875" s="14" t="s">
        <v>18</v>
      </c>
      <c r="O875" s="14" t="s">
        <v>19</v>
      </c>
      <c r="P875" s="2102"/>
      <c r="Q875" s="2266"/>
      <c r="R875" s="2320"/>
      <c r="S875" s="2263" t="s">
        <v>4755</v>
      </c>
      <c r="T875" s="2263" t="s">
        <v>4756</v>
      </c>
      <c r="U875" s="2263" t="s">
        <v>4757</v>
      </c>
      <c r="V875" s="2263" t="s">
        <v>4758</v>
      </c>
      <c r="W875" s="2263" t="s">
        <v>4759</v>
      </c>
      <c r="X875" s="2264" t="s">
        <v>4760</v>
      </c>
      <c r="Y875" s="2264" t="s">
        <v>4761</v>
      </c>
      <c r="Z875" s="2264" t="s">
        <v>4762</v>
      </c>
      <c r="AA875" s="2264" t="s">
        <v>4763</v>
      </c>
      <c r="AB875" s="2264" t="s">
        <v>4764</v>
      </c>
      <c r="AC875" s="2264" t="s">
        <v>4765</v>
      </c>
      <c r="AD875" s="2264" t="s">
        <v>4766</v>
      </c>
      <c r="AE875" s="2264" t="s">
        <v>4755</v>
      </c>
    </row>
    <row r="876" spans="1:31" s="70" customFormat="1">
      <c r="A876" s="331">
        <v>1</v>
      </c>
      <c r="B876" s="331">
        <v>2</v>
      </c>
      <c r="C876" s="63">
        <v>3</v>
      </c>
      <c r="D876" s="331">
        <v>4</v>
      </c>
      <c r="E876" s="331">
        <v>5</v>
      </c>
      <c r="F876" s="57">
        <v>6</v>
      </c>
      <c r="G876" s="57">
        <v>7</v>
      </c>
      <c r="H876" s="331">
        <v>8</v>
      </c>
      <c r="I876" s="331">
        <v>9</v>
      </c>
      <c r="J876" s="331">
        <v>10</v>
      </c>
      <c r="K876" s="331">
        <v>11</v>
      </c>
      <c r="L876" s="331">
        <v>12</v>
      </c>
      <c r="M876" s="331">
        <v>9</v>
      </c>
      <c r="N876" s="331">
        <v>10</v>
      </c>
      <c r="O876" s="331">
        <v>11</v>
      </c>
      <c r="P876" s="21">
        <v>13</v>
      </c>
      <c r="Q876" s="22"/>
      <c r="R876" s="2321"/>
      <c r="S876" s="485"/>
    </row>
    <row r="877" spans="1:31" ht="18">
      <c r="A877" s="861">
        <v>629</v>
      </c>
      <c r="B877" s="861">
        <v>1</v>
      </c>
      <c r="C877" s="861" t="s">
        <v>1738</v>
      </c>
      <c r="D877" s="862" t="s">
        <v>1698</v>
      </c>
      <c r="E877" s="862" t="s">
        <v>47</v>
      </c>
      <c r="F877" s="861">
        <v>470</v>
      </c>
      <c r="G877" s="863">
        <v>4200000</v>
      </c>
      <c r="H877" s="864">
        <f>F877*G877</f>
        <v>1974000000</v>
      </c>
      <c r="I877" s="865">
        <v>470</v>
      </c>
      <c r="J877" s="866">
        <v>4284000</v>
      </c>
      <c r="K877" s="867">
        <f>I877*J877</f>
        <v>2013480000</v>
      </c>
      <c r="L877" s="867">
        <f t="shared" ref="L877:L900" si="104">J877-G877</f>
        <v>84000</v>
      </c>
      <c r="M877" s="861" t="s">
        <v>1739</v>
      </c>
      <c r="N877" s="861" t="s">
        <v>1740</v>
      </c>
      <c r="O877" s="868" t="s">
        <v>1708</v>
      </c>
      <c r="P877" s="400" t="s">
        <v>721</v>
      </c>
      <c r="Q877" s="2084">
        <f>R877/F877</f>
        <v>1</v>
      </c>
      <c r="R877" s="2332">
        <f>+F877-(S877+T877+U877+W877+X877+Y877+Z877+AA877+AB877+AC877+AD877+AE877)</f>
        <v>470</v>
      </c>
      <c r="S877" s="2086"/>
      <c r="T877" s="2086"/>
      <c r="U877" s="2086"/>
      <c r="V877" s="2086"/>
      <c r="W877" s="2087"/>
      <c r="X877" s="2088"/>
      <c r="Y877" s="2089"/>
      <c r="Z877" s="2085"/>
      <c r="AA877" s="2085"/>
      <c r="AB877" s="2085"/>
      <c r="AC877" s="2085"/>
      <c r="AD877" s="2085"/>
      <c r="AE877" s="2089"/>
    </row>
    <row r="878" spans="1:31" ht="18">
      <c r="A878" s="869">
        <v>630</v>
      </c>
      <c r="B878" s="869">
        <v>2</v>
      </c>
      <c r="C878" s="869" t="s">
        <v>1741</v>
      </c>
      <c r="D878" s="870" t="s">
        <v>1698</v>
      </c>
      <c r="E878" s="870" t="s">
        <v>47</v>
      </c>
      <c r="F878" s="869">
        <v>10</v>
      </c>
      <c r="G878" s="871">
        <v>5500000</v>
      </c>
      <c r="H878" s="872">
        <f t="shared" ref="H878:H900" si="105">F878*G878</f>
        <v>55000000</v>
      </c>
      <c r="I878" s="873">
        <v>10</v>
      </c>
      <c r="J878" s="874">
        <v>5610000</v>
      </c>
      <c r="K878" s="875">
        <f t="shared" ref="K878:K900" si="106">I878*J878</f>
        <v>56100000</v>
      </c>
      <c r="L878" s="875">
        <f t="shared" si="104"/>
        <v>110000</v>
      </c>
      <c r="M878" s="869" t="s">
        <v>1739</v>
      </c>
      <c r="N878" s="869" t="s">
        <v>1742</v>
      </c>
      <c r="O878" s="876" t="s">
        <v>1708</v>
      </c>
      <c r="P878" s="403" t="s">
        <v>721</v>
      </c>
      <c r="Q878" s="2084">
        <f t="shared" ref="Q878:Q900" si="107">R878/F878</f>
        <v>1</v>
      </c>
      <c r="R878" s="2332">
        <f t="shared" ref="R878:R900" si="108">+F878-(S878+T878+U878+W878+X878+Y878+Z878+AA878+AB878+AC878+AD878+AE878)</f>
        <v>10</v>
      </c>
      <c r="S878" s="2086"/>
      <c r="T878" s="2086"/>
      <c r="U878" s="2086"/>
      <c r="V878" s="2086"/>
      <c r="W878" s="2087"/>
      <c r="X878" s="2088"/>
      <c r="Y878" s="2089"/>
      <c r="Z878" s="2085"/>
      <c r="AA878" s="2085"/>
      <c r="AB878" s="2085"/>
      <c r="AC878" s="2085"/>
      <c r="AD878" s="2085"/>
      <c r="AE878" s="2089"/>
    </row>
    <row r="879" spans="1:31" ht="18">
      <c r="A879" s="869">
        <v>631</v>
      </c>
      <c r="B879" s="869">
        <v>3</v>
      </c>
      <c r="C879" s="869" t="s">
        <v>1743</v>
      </c>
      <c r="D879" s="870" t="s">
        <v>1698</v>
      </c>
      <c r="E879" s="870" t="s">
        <v>47</v>
      </c>
      <c r="F879" s="869">
        <v>480</v>
      </c>
      <c r="G879" s="871">
        <v>1500000</v>
      </c>
      <c r="H879" s="872">
        <f t="shared" si="105"/>
        <v>720000000</v>
      </c>
      <c r="I879" s="873">
        <v>480</v>
      </c>
      <c r="J879" s="874">
        <v>1530000</v>
      </c>
      <c r="K879" s="875">
        <f t="shared" si="106"/>
        <v>734400000</v>
      </c>
      <c r="L879" s="875">
        <f t="shared" si="104"/>
        <v>30000</v>
      </c>
      <c r="M879" s="869" t="s">
        <v>1739</v>
      </c>
      <c r="N879" s="869">
        <v>7540020</v>
      </c>
      <c r="O879" s="876" t="s">
        <v>1708</v>
      </c>
      <c r="P879" s="403" t="s">
        <v>721</v>
      </c>
      <c r="Q879" s="2084">
        <f t="shared" si="107"/>
        <v>1</v>
      </c>
      <c r="R879" s="2332">
        <f t="shared" si="108"/>
        <v>480</v>
      </c>
      <c r="S879" s="2086"/>
      <c r="T879" s="2086"/>
      <c r="U879" s="2086"/>
      <c r="V879" s="2086"/>
      <c r="W879" s="2087"/>
      <c r="X879" s="2088"/>
      <c r="Y879" s="2089"/>
      <c r="Z879" s="2085"/>
      <c r="AA879" s="2085"/>
      <c r="AB879" s="2085"/>
      <c r="AC879" s="2085"/>
      <c r="AD879" s="2085"/>
      <c r="AE879" s="2089"/>
    </row>
    <row r="880" spans="1:31" ht="18">
      <c r="A880" s="869">
        <v>632</v>
      </c>
      <c r="B880" s="869">
        <v>4</v>
      </c>
      <c r="C880" s="869" t="s">
        <v>1744</v>
      </c>
      <c r="D880" s="870" t="s">
        <v>1698</v>
      </c>
      <c r="E880" s="870" t="s">
        <v>47</v>
      </c>
      <c r="F880" s="869">
        <v>8</v>
      </c>
      <c r="G880" s="871">
        <v>1800000</v>
      </c>
      <c r="H880" s="872">
        <f t="shared" si="105"/>
        <v>14400000</v>
      </c>
      <c r="I880" s="873">
        <v>8</v>
      </c>
      <c r="J880" s="874">
        <v>1836000</v>
      </c>
      <c r="K880" s="875">
        <f t="shared" si="106"/>
        <v>14688000</v>
      </c>
      <c r="L880" s="875">
        <f t="shared" si="104"/>
        <v>36000</v>
      </c>
      <c r="M880" s="869" t="s">
        <v>1739</v>
      </c>
      <c r="N880" s="869">
        <v>7540220</v>
      </c>
      <c r="O880" s="876" t="s">
        <v>1708</v>
      </c>
      <c r="P880" s="403" t="s">
        <v>721</v>
      </c>
      <c r="Q880" s="2084">
        <f t="shared" si="107"/>
        <v>1</v>
      </c>
      <c r="R880" s="2332">
        <f t="shared" si="108"/>
        <v>8</v>
      </c>
      <c r="S880" s="2086"/>
      <c r="T880" s="2086"/>
      <c r="U880" s="2086"/>
      <c r="V880" s="2086"/>
      <c r="W880" s="2087"/>
      <c r="X880" s="2088"/>
      <c r="Y880" s="2089"/>
      <c r="Z880" s="2085"/>
      <c r="AA880" s="2085"/>
      <c r="AB880" s="2085"/>
      <c r="AC880" s="2085"/>
      <c r="AD880" s="2085"/>
      <c r="AE880" s="2089"/>
    </row>
    <row r="881" spans="1:31" ht="19.149999999999999" customHeight="1">
      <c r="A881" s="869">
        <v>633</v>
      </c>
      <c r="B881" s="869">
        <v>5</v>
      </c>
      <c r="C881" s="869" t="s">
        <v>1745</v>
      </c>
      <c r="D881" s="870" t="s">
        <v>1698</v>
      </c>
      <c r="E881" s="870" t="s">
        <v>47</v>
      </c>
      <c r="F881" s="869">
        <v>120</v>
      </c>
      <c r="G881" s="871">
        <v>1500000</v>
      </c>
      <c r="H881" s="872">
        <f t="shared" si="105"/>
        <v>180000000</v>
      </c>
      <c r="I881" s="873">
        <v>120</v>
      </c>
      <c r="J881" s="874">
        <v>1530000</v>
      </c>
      <c r="K881" s="875">
        <f t="shared" si="106"/>
        <v>183600000</v>
      </c>
      <c r="L881" s="875">
        <f t="shared" si="104"/>
        <v>30000</v>
      </c>
      <c r="M881" s="869" t="s">
        <v>1739</v>
      </c>
      <c r="N881" s="869" t="s">
        <v>1746</v>
      </c>
      <c r="O881" s="876" t="s">
        <v>1708</v>
      </c>
      <c r="P881" s="403" t="s">
        <v>721</v>
      </c>
      <c r="Q881" s="2084">
        <f t="shared" si="107"/>
        <v>1</v>
      </c>
      <c r="R881" s="2332">
        <f t="shared" si="108"/>
        <v>120</v>
      </c>
      <c r="S881" s="2086"/>
      <c r="T881" s="2086"/>
      <c r="U881" s="2086"/>
      <c r="V881" s="2086"/>
      <c r="W881" s="2087"/>
      <c r="X881" s="2088"/>
      <c r="Y881" s="2089"/>
      <c r="Z881" s="2085"/>
      <c r="AA881" s="2085"/>
      <c r="AB881" s="2085"/>
      <c r="AC881" s="2085"/>
      <c r="AD881" s="2085"/>
      <c r="AE881" s="2089"/>
    </row>
    <row r="882" spans="1:31" ht="19.149999999999999" customHeight="1">
      <c r="A882" s="869">
        <v>634</v>
      </c>
      <c r="B882" s="869">
        <v>6</v>
      </c>
      <c r="C882" s="869" t="s">
        <v>1747</v>
      </c>
      <c r="D882" s="870" t="s">
        <v>1698</v>
      </c>
      <c r="E882" s="870" t="s">
        <v>47</v>
      </c>
      <c r="F882" s="869">
        <v>8</v>
      </c>
      <c r="G882" s="871">
        <v>5000000</v>
      </c>
      <c r="H882" s="872">
        <f t="shared" si="105"/>
        <v>40000000</v>
      </c>
      <c r="I882" s="873">
        <v>8</v>
      </c>
      <c r="J882" s="874">
        <v>5100000</v>
      </c>
      <c r="K882" s="875">
        <f t="shared" si="106"/>
        <v>40800000</v>
      </c>
      <c r="L882" s="875">
        <f t="shared" si="104"/>
        <v>100000</v>
      </c>
      <c r="M882" s="869" t="s">
        <v>1739</v>
      </c>
      <c r="N882" s="869" t="s">
        <v>1748</v>
      </c>
      <c r="O882" s="876" t="s">
        <v>1708</v>
      </c>
      <c r="P882" s="403" t="s">
        <v>721</v>
      </c>
      <c r="Q882" s="2084">
        <f t="shared" si="107"/>
        <v>1</v>
      </c>
      <c r="R882" s="2332">
        <f t="shared" si="108"/>
        <v>8</v>
      </c>
      <c r="S882" s="2086"/>
      <c r="T882" s="2086"/>
      <c r="U882" s="2086"/>
      <c r="V882" s="2086"/>
      <c r="W882" s="2087"/>
      <c r="X882" s="2088"/>
      <c r="Y882" s="2089"/>
      <c r="Z882" s="2085"/>
      <c r="AA882" s="2085"/>
      <c r="AB882" s="2085"/>
      <c r="AC882" s="2085"/>
      <c r="AD882" s="2085"/>
      <c r="AE882" s="2089"/>
    </row>
    <row r="883" spans="1:31" ht="19.149999999999999" customHeight="1">
      <c r="A883" s="869">
        <v>635</v>
      </c>
      <c r="B883" s="869">
        <v>7</v>
      </c>
      <c r="C883" s="869" t="s">
        <v>1749</v>
      </c>
      <c r="D883" s="870" t="s">
        <v>1698</v>
      </c>
      <c r="E883" s="870" t="s">
        <v>47</v>
      </c>
      <c r="F883" s="869">
        <v>5</v>
      </c>
      <c r="G883" s="871">
        <v>7000000</v>
      </c>
      <c r="H883" s="872">
        <f t="shared" si="105"/>
        <v>35000000</v>
      </c>
      <c r="I883" s="873">
        <v>5</v>
      </c>
      <c r="J883" s="874">
        <v>7140000</v>
      </c>
      <c r="K883" s="875">
        <f t="shared" si="106"/>
        <v>35700000</v>
      </c>
      <c r="L883" s="875">
        <f t="shared" si="104"/>
        <v>140000</v>
      </c>
      <c r="M883" s="869" t="s">
        <v>1739</v>
      </c>
      <c r="N883" s="869" t="s">
        <v>1750</v>
      </c>
      <c r="O883" s="876" t="s">
        <v>1708</v>
      </c>
      <c r="P883" s="403" t="s">
        <v>721</v>
      </c>
      <c r="Q883" s="2084">
        <f t="shared" si="107"/>
        <v>1</v>
      </c>
      <c r="R883" s="2332">
        <f t="shared" si="108"/>
        <v>5</v>
      </c>
      <c r="S883" s="2086"/>
      <c r="T883" s="2086"/>
      <c r="U883" s="2086"/>
      <c r="V883" s="2086"/>
      <c r="W883" s="2087"/>
      <c r="X883" s="2088"/>
      <c r="Y883" s="2089"/>
      <c r="Z883" s="2085"/>
      <c r="AA883" s="2085"/>
      <c r="AB883" s="2085"/>
      <c r="AC883" s="2085"/>
      <c r="AD883" s="2085"/>
      <c r="AE883" s="2089"/>
    </row>
    <row r="884" spans="1:31" ht="19.149999999999999" customHeight="1">
      <c r="A884" s="869">
        <v>636</v>
      </c>
      <c r="B884" s="869">
        <v>8</v>
      </c>
      <c r="C884" s="869" t="s">
        <v>1751</v>
      </c>
      <c r="D884" s="870" t="s">
        <v>1698</v>
      </c>
      <c r="E884" s="870" t="s">
        <v>47</v>
      </c>
      <c r="F884" s="869">
        <v>1</v>
      </c>
      <c r="G884" s="871">
        <v>14000000</v>
      </c>
      <c r="H884" s="872">
        <f t="shared" si="105"/>
        <v>14000000</v>
      </c>
      <c r="I884" s="873">
        <v>1</v>
      </c>
      <c r="J884" s="874">
        <v>14280000</v>
      </c>
      <c r="K884" s="875">
        <f t="shared" si="106"/>
        <v>14280000</v>
      </c>
      <c r="L884" s="875">
        <f t="shared" si="104"/>
        <v>280000</v>
      </c>
      <c r="M884" s="869" t="s">
        <v>1739</v>
      </c>
      <c r="N884" s="869" t="s">
        <v>1752</v>
      </c>
      <c r="O884" s="876" t="s">
        <v>1708</v>
      </c>
      <c r="P884" s="403" t="s">
        <v>721</v>
      </c>
      <c r="Q884" s="2084">
        <f t="shared" si="107"/>
        <v>1</v>
      </c>
      <c r="R884" s="2332">
        <f t="shared" si="108"/>
        <v>1</v>
      </c>
      <c r="S884" s="2086"/>
      <c r="T884" s="2086"/>
      <c r="U884" s="2086"/>
      <c r="V884" s="2086"/>
      <c r="W884" s="2087"/>
      <c r="X884" s="2088"/>
      <c r="Y884" s="2089"/>
      <c r="Z884" s="2085"/>
      <c r="AA884" s="2085"/>
      <c r="AB884" s="2085"/>
      <c r="AC884" s="2085"/>
      <c r="AD884" s="2085"/>
      <c r="AE884" s="2089"/>
    </row>
    <row r="885" spans="1:31" ht="19.149999999999999" customHeight="1">
      <c r="A885" s="869">
        <v>637</v>
      </c>
      <c r="B885" s="869">
        <v>9</v>
      </c>
      <c r="C885" s="869" t="s">
        <v>1753</v>
      </c>
      <c r="D885" s="870" t="s">
        <v>1698</v>
      </c>
      <c r="E885" s="870" t="s">
        <v>47</v>
      </c>
      <c r="F885" s="869">
        <v>1</v>
      </c>
      <c r="G885" s="871">
        <v>14500000</v>
      </c>
      <c r="H885" s="872">
        <f t="shared" si="105"/>
        <v>14500000</v>
      </c>
      <c r="I885" s="873">
        <v>1</v>
      </c>
      <c r="J885" s="874">
        <v>14790000</v>
      </c>
      <c r="K885" s="875">
        <f t="shared" si="106"/>
        <v>14790000</v>
      </c>
      <c r="L885" s="875">
        <f t="shared" si="104"/>
        <v>290000</v>
      </c>
      <c r="M885" s="869" t="s">
        <v>1739</v>
      </c>
      <c r="N885" s="869" t="s">
        <v>1754</v>
      </c>
      <c r="O885" s="876" t="s">
        <v>1708</v>
      </c>
      <c r="P885" s="403" t="s">
        <v>721</v>
      </c>
      <c r="Q885" s="2084">
        <f t="shared" si="107"/>
        <v>1</v>
      </c>
      <c r="R885" s="2332">
        <f t="shared" si="108"/>
        <v>1</v>
      </c>
      <c r="S885" s="2086"/>
      <c r="T885" s="2086"/>
      <c r="U885" s="2086"/>
      <c r="V885" s="2086"/>
      <c r="W885" s="2087"/>
      <c r="X885" s="2088"/>
      <c r="Y885" s="2089"/>
      <c r="Z885" s="2085"/>
      <c r="AA885" s="2085"/>
      <c r="AB885" s="2085"/>
      <c r="AC885" s="2085"/>
      <c r="AD885" s="2085"/>
      <c r="AE885" s="2089"/>
    </row>
    <row r="886" spans="1:31" s="73" customFormat="1" ht="19.149999999999999" customHeight="1">
      <c r="A886" s="869">
        <v>638</v>
      </c>
      <c r="B886" s="869">
        <v>10</v>
      </c>
      <c r="C886" s="869" t="s">
        <v>1755</v>
      </c>
      <c r="D886" s="870" t="s">
        <v>1698</v>
      </c>
      <c r="E886" s="870" t="s">
        <v>47</v>
      </c>
      <c r="F886" s="869">
        <v>8</v>
      </c>
      <c r="G886" s="877">
        <v>11000000</v>
      </c>
      <c r="H886" s="872">
        <f t="shared" si="105"/>
        <v>88000000</v>
      </c>
      <c r="I886" s="873">
        <v>8</v>
      </c>
      <c r="J886" s="874">
        <v>11220000</v>
      </c>
      <c r="K886" s="875">
        <f t="shared" si="106"/>
        <v>89760000</v>
      </c>
      <c r="L886" s="875">
        <f t="shared" si="104"/>
        <v>220000</v>
      </c>
      <c r="M886" s="869" t="s">
        <v>1739</v>
      </c>
      <c r="N886" s="869" t="s">
        <v>1756</v>
      </c>
      <c r="O886" s="876" t="s">
        <v>1757</v>
      </c>
      <c r="P886" s="403" t="s">
        <v>721</v>
      </c>
      <c r="Q886" s="2084">
        <f t="shared" si="107"/>
        <v>1</v>
      </c>
      <c r="R886" s="2332">
        <f t="shared" si="108"/>
        <v>8</v>
      </c>
      <c r="S886" s="2086"/>
      <c r="T886" s="2086"/>
      <c r="U886" s="2086"/>
      <c r="V886" s="2086"/>
      <c r="W886" s="2087"/>
      <c r="X886" s="2088"/>
      <c r="Y886" s="2089"/>
      <c r="Z886" s="2085"/>
      <c r="AA886" s="2085"/>
      <c r="AB886" s="2085"/>
      <c r="AC886" s="2085"/>
      <c r="AD886" s="2085"/>
      <c r="AE886" s="2089"/>
    </row>
    <row r="887" spans="1:31" s="73" customFormat="1" ht="19.149999999999999" customHeight="1">
      <c r="A887" s="869">
        <v>639</v>
      </c>
      <c r="B887" s="869">
        <v>11</v>
      </c>
      <c r="C887" s="869" t="s">
        <v>1758</v>
      </c>
      <c r="D887" s="870" t="s">
        <v>1698</v>
      </c>
      <c r="E887" s="870" t="s">
        <v>47</v>
      </c>
      <c r="F887" s="869">
        <v>2</v>
      </c>
      <c r="G887" s="877">
        <v>18000000</v>
      </c>
      <c r="H887" s="872">
        <f t="shared" si="105"/>
        <v>36000000</v>
      </c>
      <c r="I887" s="873">
        <v>2</v>
      </c>
      <c r="J887" s="874">
        <v>18360000</v>
      </c>
      <c r="K887" s="875">
        <f t="shared" si="106"/>
        <v>36720000</v>
      </c>
      <c r="L887" s="875">
        <f t="shared" si="104"/>
        <v>360000</v>
      </c>
      <c r="M887" s="869" t="s">
        <v>1739</v>
      </c>
      <c r="N887" s="869" t="s">
        <v>1759</v>
      </c>
      <c r="O887" s="876" t="s">
        <v>1757</v>
      </c>
      <c r="P887" s="403" t="s">
        <v>721</v>
      </c>
      <c r="Q887" s="2084">
        <f t="shared" si="107"/>
        <v>1</v>
      </c>
      <c r="R887" s="2332">
        <f t="shared" si="108"/>
        <v>2</v>
      </c>
      <c r="S887" s="2086"/>
      <c r="T887" s="2086"/>
      <c r="U887" s="2086"/>
      <c r="V887" s="2086"/>
      <c r="W887" s="2087"/>
      <c r="X887" s="2088"/>
      <c r="Y887" s="2089"/>
      <c r="Z887" s="2085"/>
      <c r="AA887" s="2085"/>
      <c r="AB887" s="2085"/>
      <c r="AC887" s="2085"/>
      <c r="AD887" s="2085"/>
      <c r="AE887" s="2089"/>
    </row>
    <row r="888" spans="1:31" s="73" customFormat="1" ht="19.149999999999999" customHeight="1">
      <c r="A888" s="869">
        <v>640</v>
      </c>
      <c r="B888" s="869">
        <v>12</v>
      </c>
      <c r="C888" s="869" t="s">
        <v>1760</v>
      </c>
      <c r="D888" s="870" t="s">
        <v>1698</v>
      </c>
      <c r="E888" s="870" t="s">
        <v>47</v>
      </c>
      <c r="F888" s="869">
        <v>4</v>
      </c>
      <c r="G888" s="877">
        <v>2000000</v>
      </c>
      <c r="H888" s="872">
        <f t="shared" si="105"/>
        <v>8000000</v>
      </c>
      <c r="I888" s="873">
        <v>4</v>
      </c>
      <c r="J888" s="874">
        <v>2040000</v>
      </c>
      <c r="K888" s="875">
        <f t="shared" si="106"/>
        <v>8160000</v>
      </c>
      <c r="L888" s="875">
        <f t="shared" si="104"/>
        <v>40000</v>
      </c>
      <c r="M888" s="869" t="s">
        <v>1739</v>
      </c>
      <c r="N888" s="869" t="s">
        <v>1761</v>
      </c>
      <c r="O888" s="876" t="s">
        <v>1708</v>
      </c>
      <c r="P888" s="403" t="s">
        <v>721</v>
      </c>
      <c r="Q888" s="2084">
        <f t="shared" si="107"/>
        <v>1</v>
      </c>
      <c r="R888" s="2332">
        <f t="shared" si="108"/>
        <v>4</v>
      </c>
      <c r="S888" s="2086"/>
      <c r="T888" s="2086"/>
      <c r="U888" s="2086"/>
      <c r="V888" s="2086"/>
      <c r="W888" s="2087"/>
      <c r="X888" s="2088"/>
      <c r="Y888" s="2089"/>
      <c r="Z888" s="2085"/>
      <c r="AA888" s="2085"/>
      <c r="AB888" s="2085"/>
      <c r="AC888" s="2085"/>
      <c r="AD888" s="2085"/>
      <c r="AE888" s="2089"/>
    </row>
    <row r="889" spans="1:31" s="73" customFormat="1" ht="19.149999999999999" customHeight="1">
      <c r="A889" s="869">
        <v>641</v>
      </c>
      <c r="B889" s="869">
        <v>13</v>
      </c>
      <c r="C889" s="869" t="s">
        <v>1762</v>
      </c>
      <c r="D889" s="870" t="s">
        <v>1698</v>
      </c>
      <c r="E889" s="870" t="s">
        <v>47</v>
      </c>
      <c r="F889" s="869">
        <v>100</v>
      </c>
      <c r="G889" s="877">
        <v>1000000</v>
      </c>
      <c r="H889" s="872">
        <f t="shared" si="105"/>
        <v>100000000</v>
      </c>
      <c r="I889" s="873">
        <v>100</v>
      </c>
      <c r="J889" s="874">
        <v>1020000</v>
      </c>
      <c r="K889" s="875">
        <f t="shared" si="106"/>
        <v>102000000</v>
      </c>
      <c r="L889" s="875">
        <f t="shared" si="104"/>
        <v>20000</v>
      </c>
      <c r="M889" s="869" t="s">
        <v>1739</v>
      </c>
      <c r="N889" s="869">
        <v>6950315</v>
      </c>
      <c r="O889" s="876" t="s">
        <v>1708</v>
      </c>
      <c r="P889" s="403" t="s">
        <v>721</v>
      </c>
      <c r="Q889" s="2084">
        <f t="shared" si="107"/>
        <v>1</v>
      </c>
      <c r="R889" s="2332">
        <f t="shared" si="108"/>
        <v>100</v>
      </c>
      <c r="S889" s="2086"/>
      <c r="T889" s="2086"/>
      <c r="U889" s="2086"/>
      <c r="V889" s="2086"/>
      <c r="W889" s="2087"/>
      <c r="X889" s="2088"/>
      <c r="Y889" s="2089"/>
      <c r="Z889" s="2085"/>
      <c r="AA889" s="2085"/>
      <c r="AB889" s="2085"/>
      <c r="AC889" s="2085"/>
      <c r="AD889" s="2085"/>
      <c r="AE889" s="2089"/>
    </row>
    <row r="890" spans="1:31" s="73" customFormat="1" ht="19.149999999999999" customHeight="1">
      <c r="A890" s="869">
        <v>642</v>
      </c>
      <c r="B890" s="869">
        <v>14</v>
      </c>
      <c r="C890" s="869" t="s">
        <v>1763</v>
      </c>
      <c r="D890" s="870" t="s">
        <v>1698</v>
      </c>
      <c r="E890" s="870" t="s">
        <v>47</v>
      </c>
      <c r="F890" s="869">
        <v>80</v>
      </c>
      <c r="G890" s="877">
        <v>5000000</v>
      </c>
      <c r="H890" s="872">
        <f t="shared" si="105"/>
        <v>400000000</v>
      </c>
      <c r="I890" s="873">
        <v>80</v>
      </c>
      <c r="J890" s="874">
        <v>5100000</v>
      </c>
      <c r="K890" s="875">
        <f t="shared" si="106"/>
        <v>408000000</v>
      </c>
      <c r="L890" s="875">
        <f t="shared" si="104"/>
        <v>100000</v>
      </c>
      <c r="M890" s="869" t="s">
        <v>1739</v>
      </c>
      <c r="N890" s="869" t="s">
        <v>1764</v>
      </c>
      <c r="O890" s="876" t="s">
        <v>1708</v>
      </c>
      <c r="P890" s="403" t="s">
        <v>721</v>
      </c>
      <c r="Q890" s="2084">
        <f t="shared" si="107"/>
        <v>1</v>
      </c>
      <c r="R890" s="2332">
        <f t="shared" si="108"/>
        <v>80</v>
      </c>
      <c r="S890" s="2086"/>
      <c r="T890" s="2086"/>
      <c r="U890" s="2086"/>
      <c r="V890" s="2086"/>
      <c r="W890" s="2087"/>
      <c r="X890" s="2088"/>
      <c r="Y890" s="2089"/>
      <c r="Z890" s="2085"/>
      <c r="AA890" s="2085"/>
      <c r="AB890" s="2085"/>
      <c r="AC890" s="2085"/>
      <c r="AD890" s="2085"/>
      <c r="AE890" s="2089"/>
    </row>
    <row r="891" spans="1:31" s="73" customFormat="1" ht="19.149999999999999" customHeight="1">
      <c r="A891" s="869">
        <v>643</v>
      </c>
      <c r="B891" s="869">
        <v>15</v>
      </c>
      <c r="C891" s="869" t="s">
        <v>1765</v>
      </c>
      <c r="D891" s="870" t="s">
        <v>1698</v>
      </c>
      <c r="E891" s="870" t="s">
        <v>47</v>
      </c>
      <c r="F891" s="869">
        <v>20</v>
      </c>
      <c r="G891" s="877">
        <v>5000000</v>
      </c>
      <c r="H891" s="872">
        <f t="shared" si="105"/>
        <v>100000000</v>
      </c>
      <c r="I891" s="873">
        <v>20</v>
      </c>
      <c r="J891" s="874">
        <v>5100000</v>
      </c>
      <c r="K891" s="875">
        <f t="shared" si="106"/>
        <v>102000000</v>
      </c>
      <c r="L891" s="875">
        <f t="shared" si="104"/>
        <v>100000</v>
      </c>
      <c r="M891" s="869" t="s">
        <v>1739</v>
      </c>
      <c r="N891" s="869" t="s">
        <v>1764</v>
      </c>
      <c r="O891" s="876" t="s">
        <v>1708</v>
      </c>
      <c r="P891" s="403" t="s">
        <v>721</v>
      </c>
      <c r="Q891" s="2084">
        <f t="shared" si="107"/>
        <v>1</v>
      </c>
      <c r="R891" s="2332">
        <f t="shared" si="108"/>
        <v>20</v>
      </c>
      <c r="S891" s="2086"/>
      <c r="T891" s="2086"/>
      <c r="U891" s="2086"/>
      <c r="V891" s="2086"/>
      <c r="W891" s="2087"/>
      <c r="X891" s="2088"/>
      <c r="Y891" s="2089"/>
      <c r="Z891" s="2085"/>
      <c r="AA891" s="2085"/>
      <c r="AB891" s="2085"/>
      <c r="AC891" s="2085"/>
      <c r="AD891" s="2085"/>
      <c r="AE891" s="2089"/>
    </row>
    <row r="892" spans="1:31" s="73" customFormat="1" ht="19.149999999999999" customHeight="1">
      <c r="A892" s="869">
        <v>644</v>
      </c>
      <c r="B892" s="869">
        <v>16</v>
      </c>
      <c r="C892" s="869" t="s">
        <v>1766</v>
      </c>
      <c r="D892" s="870" t="s">
        <v>1698</v>
      </c>
      <c r="E892" s="870" t="s">
        <v>47</v>
      </c>
      <c r="F892" s="869">
        <v>20</v>
      </c>
      <c r="G892" s="877">
        <v>1000000</v>
      </c>
      <c r="H892" s="872">
        <f t="shared" si="105"/>
        <v>20000000</v>
      </c>
      <c r="I892" s="873">
        <v>20</v>
      </c>
      <c r="J892" s="874">
        <v>1020000</v>
      </c>
      <c r="K892" s="875">
        <f t="shared" si="106"/>
        <v>20400000</v>
      </c>
      <c r="L892" s="875">
        <f t="shared" si="104"/>
        <v>20000</v>
      </c>
      <c r="M892" s="869" t="s">
        <v>1739</v>
      </c>
      <c r="N892" s="869">
        <v>6900240</v>
      </c>
      <c r="O892" s="876" t="s">
        <v>1708</v>
      </c>
      <c r="P892" s="403" t="s">
        <v>721</v>
      </c>
      <c r="Q892" s="2084">
        <f t="shared" si="107"/>
        <v>1</v>
      </c>
      <c r="R892" s="2332">
        <f t="shared" si="108"/>
        <v>20</v>
      </c>
      <c r="S892" s="2086"/>
      <c r="T892" s="2086"/>
      <c r="U892" s="2086"/>
      <c r="V892" s="2086"/>
      <c r="W892" s="2087"/>
      <c r="X892" s="2088"/>
      <c r="Y892" s="2089"/>
      <c r="Z892" s="2085"/>
      <c r="AA892" s="2085"/>
      <c r="AB892" s="2085"/>
      <c r="AC892" s="2085"/>
      <c r="AD892" s="2085"/>
      <c r="AE892" s="2089"/>
    </row>
    <row r="893" spans="1:31" s="73" customFormat="1" ht="19.149999999999999" customHeight="1">
      <c r="A893" s="869">
        <v>645</v>
      </c>
      <c r="B893" s="869">
        <v>17</v>
      </c>
      <c r="C893" s="869" t="s">
        <v>1767</v>
      </c>
      <c r="D893" s="869" t="s">
        <v>1698</v>
      </c>
      <c r="E893" s="869" t="s">
        <v>47</v>
      </c>
      <c r="F893" s="869">
        <v>2</v>
      </c>
      <c r="G893" s="871">
        <v>7500000</v>
      </c>
      <c r="H893" s="872">
        <f t="shared" si="105"/>
        <v>15000000</v>
      </c>
      <c r="I893" s="873">
        <v>2</v>
      </c>
      <c r="J893" s="874">
        <v>7650000</v>
      </c>
      <c r="K893" s="875">
        <f t="shared" si="106"/>
        <v>15300000</v>
      </c>
      <c r="L893" s="875">
        <f t="shared" si="104"/>
        <v>150000</v>
      </c>
      <c r="M893" s="869" t="s">
        <v>1739</v>
      </c>
      <c r="N893" s="869">
        <v>6900280</v>
      </c>
      <c r="O893" s="876" t="s">
        <v>1708</v>
      </c>
      <c r="P893" s="403" t="s">
        <v>721</v>
      </c>
      <c r="Q893" s="2084">
        <f t="shared" si="107"/>
        <v>1</v>
      </c>
      <c r="R893" s="2332">
        <f t="shared" si="108"/>
        <v>2</v>
      </c>
      <c r="S893" s="2086"/>
      <c r="T893" s="2086"/>
      <c r="U893" s="2086"/>
      <c r="V893" s="2086"/>
      <c r="W893" s="2087"/>
      <c r="X893" s="2088"/>
      <c r="Y893" s="2089"/>
      <c r="Z893" s="2085"/>
      <c r="AA893" s="2085"/>
      <c r="AB893" s="2085"/>
      <c r="AC893" s="2085"/>
      <c r="AD893" s="2085"/>
      <c r="AE893" s="2089"/>
    </row>
    <row r="894" spans="1:31" s="73" customFormat="1" ht="19.149999999999999" customHeight="1">
      <c r="A894" s="869">
        <v>646</v>
      </c>
      <c r="B894" s="869">
        <v>18</v>
      </c>
      <c r="C894" s="869" t="s">
        <v>1768</v>
      </c>
      <c r="D894" s="869" t="s">
        <v>1698</v>
      </c>
      <c r="E894" s="869" t="s">
        <v>47</v>
      </c>
      <c r="F894" s="869">
        <v>8</v>
      </c>
      <c r="G894" s="871">
        <v>4000000</v>
      </c>
      <c r="H894" s="872">
        <f t="shared" si="105"/>
        <v>32000000</v>
      </c>
      <c r="I894" s="873">
        <v>8</v>
      </c>
      <c r="J894" s="874">
        <v>4080000</v>
      </c>
      <c r="K894" s="875">
        <f t="shared" si="106"/>
        <v>32640000</v>
      </c>
      <c r="L894" s="875">
        <f t="shared" si="104"/>
        <v>80000</v>
      </c>
      <c r="M894" s="869" t="s">
        <v>1739</v>
      </c>
      <c r="N894" s="869" t="s">
        <v>1769</v>
      </c>
      <c r="O894" s="876" t="s">
        <v>1708</v>
      </c>
      <c r="P894" s="403" t="s">
        <v>721</v>
      </c>
      <c r="Q894" s="2084">
        <f t="shared" si="107"/>
        <v>1</v>
      </c>
      <c r="R894" s="2332">
        <f t="shared" si="108"/>
        <v>8</v>
      </c>
      <c r="S894" s="2086"/>
      <c r="T894" s="2086"/>
      <c r="U894" s="2086"/>
      <c r="V894" s="2086"/>
      <c r="W894" s="2087"/>
      <c r="X894" s="2088"/>
      <c r="Y894" s="2089"/>
      <c r="Z894" s="2085"/>
      <c r="AA894" s="2085"/>
      <c r="AB894" s="2085"/>
      <c r="AC894" s="2085"/>
      <c r="AD894" s="2085"/>
      <c r="AE894" s="2089"/>
    </row>
    <row r="895" spans="1:31" s="73" customFormat="1" ht="19.149999999999999" customHeight="1">
      <c r="A895" s="869">
        <v>647</v>
      </c>
      <c r="B895" s="869">
        <v>19</v>
      </c>
      <c r="C895" s="869" t="s">
        <v>1770</v>
      </c>
      <c r="D895" s="869" t="s">
        <v>1698</v>
      </c>
      <c r="E895" s="869" t="s">
        <v>47</v>
      </c>
      <c r="F895" s="869">
        <v>8</v>
      </c>
      <c r="G895" s="877">
        <v>12000000</v>
      </c>
      <c r="H895" s="872">
        <f t="shared" si="105"/>
        <v>96000000</v>
      </c>
      <c r="I895" s="873">
        <v>8</v>
      </c>
      <c r="J895" s="874">
        <v>12240000</v>
      </c>
      <c r="K895" s="875">
        <f t="shared" si="106"/>
        <v>97920000</v>
      </c>
      <c r="L895" s="875">
        <f t="shared" si="104"/>
        <v>240000</v>
      </c>
      <c r="M895" s="869" t="s">
        <v>1739</v>
      </c>
      <c r="N895" s="869" t="s">
        <v>1771</v>
      </c>
      <c r="O895" s="876" t="s">
        <v>1757</v>
      </c>
      <c r="P895" s="403" t="s">
        <v>721</v>
      </c>
      <c r="Q895" s="2084">
        <f t="shared" si="107"/>
        <v>1</v>
      </c>
      <c r="R895" s="2332">
        <f t="shared" si="108"/>
        <v>8</v>
      </c>
      <c r="S895" s="2086"/>
      <c r="T895" s="2086"/>
      <c r="U895" s="2086"/>
      <c r="V895" s="2086"/>
      <c r="W895" s="2087"/>
      <c r="X895" s="2088"/>
      <c r="Y895" s="2089"/>
      <c r="Z895" s="2085"/>
      <c r="AA895" s="2085"/>
      <c r="AB895" s="2085"/>
      <c r="AC895" s="2085"/>
      <c r="AD895" s="2085"/>
      <c r="AE895" s="2089"/>
    </row>
    <row r="896" spans="1:31" s="73" customFormat="1" ht="19.149999999999999" customHeight="1">
      <c r="A896" s="869">
        <v>648</v>
      </c>
      <c r="B896" s="869">
        <v>20</v>
      </c>
      <c r="C896" s="869" t="s">
        <v>1772</v>
      </c>
      <c r="D896" s="869" t="s">
        <v>1698</v>
      </c>
      <c r="E896" s="869" t="s">
        <v>47</v>
      </c>
      <c r="F896" s="869">
        <v>12</v>
      </c>
      <c r="G896" s="877">
        <v>8000000</v>
      </c>
      <c r="H896" s="872">
        <f t="shared" si="105"/>
        <v>96000000</v>
      </c>
      <c r="I896" s="873">
        <v>12</v>
      </c>
      <c r="J896" s="874">
        <v>8160000</v>
      </c>
      <c r="K896" s="875">
        <f t="shared" si="106"/>
        <v>97920000</v>
      </c>
      <c r="L896" s="875">
        <f t="shared" si="104"/>
        <v>160000</v>
      </c>
      <c r="M896" s="869" t="s">
        <v>1739</v>
      </c>
      <c r="N896" s="869" t="s">
        <v>1773</v>
      </c>
      <c r="O896" s="876" t="s">
        <v>1708</v>
      </c>
      <c r="P896" s="403" t="s">
        <v>721</v>
      </c>
      <c r="Q896" s="2084">
        <f t="shared" si="107"/>
        <v>1</v>
      </c>
      <c r="R896" s="2332">
        <f t="shared" si="108"/>
        <v>12</v>
      </c>
      <c r="S896" s="2086"/>
      <c r="T896" s="2086"/>
      <c r="U896" s="2086"/>
      <c r="V896" s="2086"/>
      <c r="W896" s="2087"/>
      <c r="X896" s="2088"/>
      <c r="Y896" s="2089"/>
      <c r="Z896" s="2085"/>
      <c r="AA896" s="2085"/>
      <c r="AB896" s="2085"/>
      <c r="AC896" s="2085"/>
      <c r="AD896" s="2085"/>
      <c r="AE896" s="2089"/>
    </row>
    <row r="897" spans="1:31" s="73" customFormat="1" ht="19.149999999999999" customHeight="1">
      <c r="A897" s="869">
        <v>649</v>
      </c>
      <c r="B897" s="869">
        <v>21</v>
      </c>
      <c r="C897" s="869" t="s">
        <v>1774</v>
      </c>
      <c r="D897" s="869" t="s">
        <v>1698</v>
      </c>
      <c r="E897" s="869" t="s">
        <v>47</v>
      </c>
      <c r="F897" s="869">
        <v>8</v>
      </c>
      <c r="G897" s="877">
        <v>10000000</v>
      </c>
      <c r="H897" s="872">
        <f t="shared" si="105"/>
        <v>80000000</v>
      </c>
      <c r="I897" s="873">
        <v>8</v>
      </c>
      <c r="J897" s="874">
        <v>10200000</v>
      </c>
      <c r="K897" s="875">
        <f t="shared" si="106"/>
        <v>81600000</v>
      </c>
      <c r="L897" s="875">
        <f t="shared" si="104"/>
        <v>200000</v>
      </c>
      <c r="M897" s="869" t="s">
        <v>1739</v>
      </c>
      <c r="N897" s="869" t="s">
        <v>1773</v>
      </c>
      <c r="O897" s="876" t="s">
        <v>1708</v>
      </c>
      <c r="P897" s="403" t="s">
        <v>721</v>
      </c>
      <c r="Q897" s="2084">
        <f t="shared" si="107"/>
        <v>1</v>
      </c>
      <c r="R897" s="2332">
        <f t="shared" si="108"/>
        <v>8</v>
      </c>
      <c r="S897" s="2086"/>
      <c r="T897" s="2086"/>
      <c r="U897" s="2086"/>
      <c r="V897" s="2086"/>
      <c r="W897" s="2087"/>
      <c r="X897" s="2088"/>
      <c r="Y897" s="2089"/>
      <c r="Z897" s="2085"/>
      <c r="AA897" s="2085"/>
      <c r="AB897" s="2085"/>
      <c r="AC897" s="2085"/>
      <c r="AD897" s="2085"/>
      <c r="AE897" s="2089"/>
    </row>
    <row r="898" spans="1:31" s="73" customFormat="1" ht="19.149999999999999" customHeight="1">
      <c r="A898" s="869">
        <v>650</v>
      </c>
      <c r="B898" s="869">
        <v>22</v>
      </c>
      <c r="C898" s="869" t="s">
        <v>1775</v>
      </c>
      <c r="D898" s="869" t="s">
        <v>1698</v>
      </c>
      <c r="E898" s="869" t="s">
        <v>47</v>
      </c>
      <c r="F898" s="869">
        <v>2</v>
      </c>
      <c r="G898" s="877">
        <v>14000000</v>
      </c>
      <c r="H898" s="872">
        <f t="shared" si="105"/>
        <v>28000000</v>
      </c>
      <c r="I898" s="873">
        <v>2</v>
      </c>
      <c r="J898" s="874">
        <v>14280000</v>
      </c>
      <c r="K898" s="875">
        <f t="shared" si="106"/>
        <v>28560000</v>
      </c>
      <c r="L898" s="875">
        <f t="shared" si="104"/>
        <v>280000</v>
      </c>
      <c r="M898" s="869" t="s">
        <v>1739</v>
      </c>
      <c r="N898" s="869" t="s">
        <v>1773</v>
      </c>
      <c r="O898" s="876" t="s">
        <v>1708</v>
      </c>
      <c r="P898" s="403" t="s">
        <v>721</v>
      </c>
      <c r="Q898" s="2084">
        <f t="shared" si="107"/>
        <v>1</v>
      </c>
      <c r="R898" s="2332">
        <f t="shared" si="108"/>
        <v>2</v>
      </c>
      <c r="S898" s="2086"/>
      <c r="T898" s="2086"/>
      <c r="U898" s="2086"/>
      <c r="V898" s="2086"/>
      <c r="W898" s="2087"/>
      <c r="X898" s="2088"/>
      <c r="Y898" s="2089"/>
      <c r="Z898" s="2085"/>
      <c r="AA898" s="2085"/>
      <c r="AB898" s="2085"/>
      <c r="AC898" s="2085"/>
      <c r="AD898" s="2085"/>
      <c r="AE898" s="2089"/>
    </row>
    <row r="899" spans="1:31" s="73" customFormat="1" ht="19.149999999999999" customHeight="1">
      <c r="A899" s="869">
        <v>651</v>
      </c>
      <c r="B899" s="869">
        <v>23</v>
      </c>
      <c r="C899" s="869" t="s">
        <v>1776</v>
      </c>
      <c r="D899" s="869" t="s">
        <v>1698</v>
      </c>
      <c r="E899" s="869" t="s">
        <v>47</v>
      </c>
      <c r="F899" s="869">
        <v>80</v>
      </c>
      <c r="G899" s="877">
        <v>1000000</v>
      </c>
      <c r="H899" s="872">
        <f t="shared" si="105"/>
        <v>80000000</v>
      </c>
      <c r="I899" s="873">
        <v>80</v>
      </c>
      <c r="J899" s="874">
        <v>1020000</v>
      </c>
      <c r="K899" s="875">
        <f t="shared" si="106"/>
        <v>81600000</v>
      </c>
      <c r="L899" s="875">
        <f t="shared" si="104"/>
        <v>20000</v>
      </c>
      <c r="M899" s="869" t="s">
        <v>1739</v>
      </c>
      <c r="N899" s="869" t="s">
        <v>1773</v>
      </c>
      <c r="O899" s="876" t="s">
        <v>1708</v>
      </c>
      <c r="P899" s="403" t="s">
        <v>721</v>
      </c>
      <c r="Q899" s="2084">
        <f t="shared" si="107"/>
        <v>1</v>
      </c>
      <c r="R899" s="2332">
        <f t="shared" si="108"/>
        <v>80</v>
      </c>
      <c r="S899" s="2086"/>
      <c r="T899" s="2086"/>
      <c r="U899" s="2086"/>
      <c r="V899" s="2086"/>
      <c r="W899" s="2087"/>
      <c r="X899" s="2088"/>
      <c r="Y899" s="2089"/>
      <c r="Z899" s="2085"/>
      <c r="AA899" s="2085"/>
      <c r="AB899" s="2085"/>
      <c r="AC899" s="2085"/>
      <c r="AD899" s="2085"/>
      <c r="AE899" s="2089"/>
    </row>
    <row r="900" spans="1:31" s="73" customFormat="1" ht="19.149999999999999" customHeight="1">
      <c r="A900" s="878">
        <v>652</v>
      </c>
      <c r="B900" s="878">
        <v>24</v>
      </c>
      <c r="C900" s="878" t="s">
        <v>1777</v>
      </c>
      <c r="D900" s="878" t="s">
        <v>1698</v>
      </c>
      <c r="E900" s="878" t="s">
        <v>47</v>
      </c>
      <c r="F900" s="878">
        <v>10</v>
      </c>
      <c r="G900" s="879">
        <v>1000000</v>
      </c>
      <c r="H900" s="880">
        <f t="shared" si="105"/>
        <v>10000000</v>
      </c>
      <c r="I900" s="881">
        <v>10</v>
      </c>
      <c r="J900" s="882">
        <v>1020000</v>
      </c>
      <c r="K900" s="883">
        <f t="shared" si="106"/>
        <v>10200000</v>
      </c>
      <c r="L900" s="883">
        <f t="shared" si="104"/>
        <v>20000</v>
      </c>
      <c r="M900" s="878" t="s">
        <v>1739</v>
      </c>
      <c r="N900" s="878" t="s">
        <v>1773</v>
      </c>
      <c r="O900" s="884" t="s">
        <v>1708</v>
      </c>
      <c r="P900" s="786" t="s">
        <v>721</v>
      </c>
      <c r="Q900" s="2084">
        <f t="shared" si="107"/>
        <v>1</v>
      </c>
      <c r="R900" s="2332">
        <f t="shared" si="108"/>
        <v>10</v>
      </c>
      <c r="S900" s="2086"/>
      <c r="T900" s="2086"/>
      <c r="U900" s="2086"/>
      <c r="V900" s="2086"/>
      <c r="W900" s="2087"/>
      <c r="X900" s="2088"/>
      <c r="Y900" s="2089"/>
      <c r="Z900" s="2085"/>
      <c r="AA900" s="2085"/>
      <c r="AB900" s="2085"/>
      <c r="AC900" s="2085"/>
      <c r="AD900" s="2085"/>
      <c r="AE900" s="2089"/>
    </row>
    <row r="901" spans="1:31" s="73" customFormat="1" ht="15.6" customHeight="1">
      <c r="A901" s="2150" t="s">
        <v>805</v>
      </c>
      <c r="B901" s="2150"/>
      <c r="C901" s="2150"/>
      <c r="D901" s="2150"/>
      <c r="E901" s="2150"/>
      <c r="F901" s="2150"/>
      <c r="G901" s="2150"/>
      <c r="H901" s="2305">
        <f>SUM(H877:H900)</f>
        <v>4235900000</v>
      </c>
      <c r="I901" s="886"/>
      <c r="J901" s="886"/>
      <c r="K901" s="885">
        <f>SUM(K877:K900)</f>
        <v>4320618000</v>
      </c>
      <c r="L901" s="887"/>
      <c r="M901" s="888"/>
      <c r="N901" s="888"/>
      <c r="O901" s="888"/>
      <c r="P901" s="142"/>
      <c r="Q901" s="115"/>
      <c r="R901" s="1024"/>
      <c r="S901" s="75"/>
      <c r="T901" s="71"/>
      <c r="U901" s="71"/>
      <c r="V901" s="71"/>
      <c r="W901" s="71"/>
      <c r="X901" s="71"/>
      <c r="Y901" s="71"/>
      <c r="Z901" s="71"/>
      <c r="AA901" s="71"/>
      <c r="AB901" s="71"/>
      <c r="AC901" s="71"/>
    </row>
    <row r="902" spans="1:31" ht="15.6" customHeight="1">
      <c r="A902" s="2151" t="s">
        <v>1778</v>
      </c>
      <c r="B902" s="2151"/>
      <c r="C902" s="2151"/>
      <c r="D902" s="2151"/>
      <c r="E902" s="2151"/>
      <c r="F902" s="2151"/>
      <c r="G902" s="2151"/>
      <c r="H902" s="2151"/>
      <c r="I902" s="2151"/>
      <c r="J902" s="2151"/>
      <c r="K902" s="2151"/>
      <c r="L902" s="248"/>
      <c r="M902" s="247"/>
      <c r="N902" s="247"/>
      <c r="O902" s="247"/>
      <c r="P902" s="142"/>
      <c r="Q902" s="115"/>
    </row>
    <row r="904" spans="1:31">
      <c r="A904" s="71" t="s">
        <v>1779</v>
      </c>
    </row>
    <row r="905" spans="1:31" s="12" customFormat="1" ht="15.6" customHeight="1">
      <c r="A905" s="2092" t="s">
        <v>5</v>
      </c>
      <c r="B905" s="2092" t="s">
        <v>6</v>
      </c>
      <c r="C905" s="2094" t="s">
        <v>7</v>
      </c>
      <c r="D905" s="2096" t="s">
        <v>8</v>
      </c>
      <c r="E905" s="2092" t="s">
        <v>9</v>
      </c>
      <c r="F905" s="2098" t="s">
        <v>10</v>
      </c>
      <c r="G905" s="2098"/>
      <c r="H905" s="2098"/>
      <c r="I905" s="2098" t="s">
        <v>11</v>
      </c>
      <c r="J905" s="2098"/>
      <c r="K905" s="2098"/>
      <c r="L905" s="2099" t="s">
        <v>12</v>
      </c>
      <c r="M905" s="9"/>
      <c r="N905" s="9"/>
      <c r="O905" s="9"/>
      <c r="P905" s="2101" t="s">
        <v>13</v>
      </c>
      <c r="Q905" s="10"/>
      <c r="R905" s="2318"/>
      <c r="S905" s="11"/>
    </row>
    <row r="906" spans="1:31" s="16" customFormat="1" ht="47.45" customHeight="1">
      <c r="A906" s="2093"/>
      <c r="B906" s="2093"/>
      <c r="C906" s="2095"/>
      <c r="D906" s="2097"/>
      <c r="E906" s="2093"/>
      <c r="F906" s="13" t="s">
        <v>14</v>
      </c>
      <c r="G906" s="13" t="s">
        <v>15</v>
      </c>
      <c r="H906" s="13" t="s">
        <v>16</v>
      </c>
      <c r="I906" s="13" t="s">
        <v>14</v>
      </c>
      <c r="J906" s="13" t="s">
        <v>15</v>
      </c>
      <c r="K906" s="13" t="s">
        <v>16</v>
      </c>
      <c r="L906" s="2100"/>
      <c r="M906" s="14" t="s">
        <v>17</v>
      </c>
      <c r="N906" s="14" t="s">
        <v>18</v>
      </c>
      <c r="O906" s="14" t="s">
        <v>19</v>
      </c>
      <c r="P906" s="2102"/>
      <c r="Q906" s="2081" t="s">
        <v>4740</v>
      </c>
      <c r="R906" s="2333" t="s">
        <v>4741</v>
      </c>
      <c r="S906" s="2081" t="s">
        <v>4742</v>
      </c>
      <c r="T906" s="2081" t="s">
        <v>4743</v>
      </c>
      <c r="U906" s="2081" t="s">
        <v>4744</v>
      </c>
      <c r="V906" s="2081" t="s">
        <v>4745</v>
      </c>
      <c r="W906" s="2081" t="s">
        <v>4746</v>
      </c>
      <c r="X906" s="2081" t="s">
        <v>4747</v>
      </c>
      <c r="Y906" s="2081" t="s">
        <v>4748</v>
      </c>
      <c r="Z906" s="2081" t="s">
        <v>4749</v>
      </c>
      <c r="AA906" s="2082" t="s">
        <v>4750</v>
      </c>
      <c r="AB906" s="2081" t="s">
        <v>4751</v>
      </c>
      <c r="AC906" s="2081" t="s">
        <v>4752</v>
      </c>
      <c r="AD906" s="2081" t="s">
        <v>4753</v>
      </c>
      <c r="AE906" s="2083" t="s">
        <v>4742</v>
      </c>
    </row>
    <row r="907" spans="1:31" s="70" customFormat="1">
      <c r="A907" s="331">
        <v>1</v>
      </c>
      <c r="B907" s="331">
        <v>2</v>
      </c>
      <c r="C907" s="63">
        <v>3</v>
      </c>
      <c r="D907" s="331">
        <v>4</v>
      </c>
      <c r="E907" s="331">
        <v>5</v>
      </c>
      <c r="F907" s="57">
        <v>6</v>
      </c>
      <c r="G907" s="57">
        <v>7</v>
      </c>
      <c r="H907" s="331">
        <v>8</v>
      </c>
      <c r="I907" s="331">
        <v>9</v>
      </c>
      <c r="J907" s="331">
        <v>10</v>
      </c>
      <c r="K907" s="331">
        <v>11</v>
      </c>
      <c r="L907" s="331">
        <v>12</v>
      </c>
      <c r="M907" s="331">
        <v>9</v>
      </c>
      <c r="N907" s="331">
        <v>10</v>
      </c>
      <c r="O907" s="331">
        <v>11</v>
      </c>
      <c r="P907" s="21">
        <v>13</v>
      </c>
      <c r="R907" s="2329"/>
    </row>
    <row r="908" spans="1:31" ht="18">
      <c r="A908" s="889">
        <v>653</v>
      </c>
      <c r="B908" s="889">
        <v>1</v>
      </c>
      <c r="C908" s="889" t="s">
        <v>1780</v>
      </c>
      <c r="D908" s="682" t="s">
        <v>1781</v>
      </c>
      <c r="E908" s="682" t="s">
        <v>47</v>
      </c>
      <c r="F908" s="682">
        <v>200</v>
      </c>
      <c r="G908" s="890">
        <v>892500</v>
      </c>
      <c r="H908" s="682">
        <f>F908*G908</f>
        <v>178500000</v>
      </c>
      <c r="I908" s="891">
        <v>200</v>
      </c>
      <c r="J908" s="892">
        <v>992000</v>
      </c>
      <c r="K908" s="682">
        <f>I908*J908</f>
        <v>198400000</v>
      </c>
      <c r="L908" s="682">
        <f t="shared" ref="L908:L924" si="109">J908-G908</f>
        <v>99500</v>
      </c>
      <c r="M908" s="890" t="s">
        <v>1782</v>
      </c>
      <c r="N908" s="893">
        <v>0</v>
      </c>
      <c r="O908" s="400"/>
      <c r="P908" s="400" t="s">
        <v>1783</v>
      </c>
      <c r="Q908" s="2084">
        <f>R908/F908</f>
        <v>1</v>
      </c>
      <c r="R908" s="2332">
        <f>+F908-(S908+T908+U908+W908+X908+Y908+Z908+AA908+AB908+AC908+AD908+AE908)</f>
        <v>200</v>
      </c>
      <c r="S908" s="2086"/>
      <c r="T908" s="2086"/>
      <c r="U908" s="2086"/>
      <c r="V908" s="2086"/>
      <c r="W908" s="2087"/>
      <c r="X908" s="2088"/>
      <c r="Y908" s="2089"/>
      <c r="Z908" s="2085"/>
      <c r="AA908" s="2085"/>
      <c r="AB908" s="2085"/>
      <c r="AC908" s="2085"/>
      <c r="AD908" s="2085"/>
      <c r="AE908" s="2089"/>
    </row>
    <row r="909" spans="1:31" ht="18">
      <c r="A909" s="894">
        <v>654</v>
      </c>
      <c r="B909" s="894">
        <v>2</v>
      </c>
      <c r="C909" s="894" t="s">
        <v>1784</v>
      </c>
      <c r="D909" s="692" t="s">
        <v>1781</v>
      </c>
      <c r="E909" s="692" t="s">
        <v>47</v>
      </c>
      <c r="F909" s="692">
        <v>300</v>
      </c>
      <c r="G909" s="895">
        <v>8820000</v>
      </c>
      <c r="H909" s="692">
        <f t="shared" ref="H909:H924" si="110">F909*G909</f>
        <v>2646000000</v>
      </c>
      <c r="I909" s="896">
        <v>300</v>
      </c>
      <c r="J909" s="897">
        <v>8900000</v>
      </c>
      <c r="K909" s="692">
        <f t="shared" ref="K909:K924" si="111">I909*J909</f>
        <v>2670000000</v>
      </c>
      <c r="L909" s="692">
        <f t="shared" si="109"/>
        <v>80000</v>
      </c>
      <c r="M909" s="895" t="s">
        <v>1785</v>
      </c>
      <c r="N909" s="898">
        <v>1</v>
      </c>
      <c r="O909" s="403"/>
      <c r="P909" s="403" t="s">
        <v>1783</v>
      </c>
      <c r="Q909" s="2084">
        <f t="shared" ref="Q909:Q916" si="112">R909/F909</f>
        <v>0.88666666666666671</v>
      </c>
      <c r="R909" s="2332">
        <f t="shared" ref="R909:R916" si="113">+F909-(S909+T909+U909+W909+X909+Y909+Z909+AA909+AB909+AC909+AD909+AE909)</f>
        <v>266</v>
      </c>
      <c r="S909" s="73">
        <v>5</v>
      </c>
      <c r="T909" s="71">
        <v>29</v>
      </c>
    </row>
    <row r="910" spans="1:31" ht="18">
      <c r="A910" s="894">
        <v>655</v>
      </c>
      <c r="B910" s="894">
        <v>3</v>
      </c>
      <c r="C910" s="894" t="s">
        <v>1786</v>
      </c>
      <c r="D910" s="692" t="s">
        <v>1781</v>
      </c>
      <c r="E910" s="692" t="s">
        <v>47</v>
      </c>
      <c r="F910" s="692">
        <v>10</v>
      </c>
      <c r="G910" s="895">
        <v>9975000</v>
      </c>
      <c r="H910" s="692">
        <f t="shared" si="110"/>
        <v>99750000</v>
      </c>
      <c r="I910" s="896">
        <v>10</v>
      </c>
      <c r="J910" s="897">
        <v>10200000</v>
      </c>
      <c r="K910" s="692">
        <f t="shared" si="111"/>
        <v>102000000</v>
      </c>
      <c r="L910" s="692">
        <f t="shared" si="109"/>
        <v>225000</v>
      </c>
      <c r="M910" s="895" t="s">
        <v>1785</v>
      </c>
      <c r="N910" s="898">
        <v>1</v>
      </c>
      <c r="O910" s="403"/>
      <c r="P910" s="403" t="s">
        <v>1783</v>
      </c>
      <c r="Q910" s="2084">
        <f t="shared" si="112"/>
        <v>1</v>
      </c>
      <c r="R910" s="2332">
        <f t="shared" si="113"/>
        <v>10</v>
      </c>
    </row>
    <row r="911" spans="1:31" ht="18">
      <c r="A911" s="894">
        <v>656</v>
      </c>
      <c r="B911" s="894">
        <v>4</v>
      </c>
      <c r="C911" s="894" t="s">
        <v>1787</v>
      </c>
      <c r="D911" s="692" t="s">
        <v>1781</v>
      </c>
      <c r="E911" s="692" t="s">
        <v>47</v>
      </c>
      <c r="F911" s="692">
        <v>500</v>
      </c>
      <c r="G911" s="895">
        <v>525000</v>
      </c>
      <c r="H911" s="692">
        <f t="shared" si="110"/>
        <v>262500000</v>
      </c>
      <c r="I911" s="896">
        <v>500</v>
      </c>
      <c r="J911" s="897">
        <v>538000</v>
      </c>
      <c r="K911" s="692">
        <f t="shared" si="111"/>
        <v>269000000</v>
      </c>
      <c r="L911" s="692">
        <f t="shared" si="109"/>
        <v>13000</v>
      </c>
      <c r="M911" s="895" t="s">
        <v>1782</v>
      </c>
      <c r="N911" s="898">
        <v>0</v>
      </c>
      <c r="O911" s="403"/>
      <c r="P911" s="403" t="s">
        <v>1783</v>
      </c>
      <c r="Q911" s="2084">
        <f t="shared" si="112"/>
        <v>1</v>
      </c>
      <c r="R911" s="2332">
        <f t="shared" si="113"/>
        <v>500</v>
      </c>
    </row>
    <row r="912" spans="1:31" ht="18">
      <c r="A912" s="894">
        <v>657</v>
      </c>
      <c r="B912" s="894">
        <v>5</v>
      </c>
      <c r="C912" s="894" t="s">
        <v>1788</v>
      </c>
      <c r="D912" s="692" t="s">
        <v>1781</v>
      </c>
      <c r="E912" s="692" t="s">
        <v>47</v>
      </c>
      <c r="F912" s="692">
        <v>1200</v>
      </c>
      <c r="G912" s="895">
        <v>567000</v>
      </c>
      <c r="H912" s="692">
        <f t="shared" si="110"/>
        <v>680400000</v>
      </c>
      <c r="I912" s="896">
        <v>1200</v>
      </c>
      <c r="J912" s="897">
        <v>570000</v>
      </c>
      <c r="K912" s="692">
        <f t="shared" si="111"/>
        <v>684000000</v>
      </c>
      <c r="L912" s="692">
        <f t="shared" si="109"/>
        <v>3000</v>
      </c>
      <c r="M912" s="895" t="s">
        <v>1782</v>
      </c>
      <c r="N912" s="898">
        <v>0</v>
      </c>
      <c r="O912" s="403"/>
      <c r="P912" s="403" t="s">
        <v>1783</v>
      </c>
      <c r="Q912" s="2084">
        <f t="shared" si="112"/>
        <v>1</v>
      </c>
      <c r="R912" s="2332">
        <f t="shared" si="113"/>
        <v>1200</v>
      </c>
    </row>
    <row r="913" spans="1:18" ht="18">
      <c r="A913" s="894">
        <v>658</v>
      </c>
      <c r="B913" s="894">
        <v>6</v>
      </c>
      <c r="C913" s="894" t="s">
        <v>1789</v>
      </c>
      <c r="D913" s="692" t="s">
        <v>1781</v>
      </c>
      <c r="E913" s="692" t="s">
        <v>47</v>
      </c>
      <c r="F913" s="692">
        <v>300</v>
      </c>
      <c r="G913" s="895">
        <v>630000</v>
      </c>
      <c r="H913" s="692">
        <f t="shared" si="110"/>
        <v>189000000</v>
      </c>
      <c r="I913" s="896">
        <v>300</v>
      </c>
      <c r="J913" s="897">
        <v>631000</v>
      </c>
      <c r="K913" s="692">
        <f t="shared" si="111"/>
        <v>189300000</v>
      </c>
      <c r="L913" s="692">
        <f t="shared" si="109"/>
        <v>1000</v>
      </c>
      <c r="M913" s="895" t="s">
        <v>1782</v>
      </c>
      <c r="N913" s="898">
        <v>0</v>
      </c>
      <c r="O913" s="403"/>
      <c r="P913" s="403" t="s">
        <v>1783</v>
      </c>
      <c r="Q913" s="2084">
        <f t="shared" si="112"/>
        <v>1</v>
      </c>
      <c r="R913" s="2332">
        <f t="shared" si="113"/>
        <v>300</v>
      </c>
    </row>
    <row r="914" spans="1:18" ht="27">
      <c r="A914" s="894">
        <v>659</v>
      </c>
      <c r="B914" s="894">
        <v>7</v>
      </c>
      <c r="C914" s="894" t="s">
        <v>1790</v>
      </c>
      <c r="D914" s="692" t="s">
        <v>1781</v>
      </c>
      <c r="E914" s="692" t="s">
        <v>22</v>
      </c>
      <c r="F914" s="692">
        <v>1000</v>
      </c>
      <c r="G914" s="895">
        <v>661500</v>
      </c>
      <c r="H914" s="692">
        <f t="shared" si="110"/>
        <v>661500000</v>
      </c>
      <c r="I914" s="896">
        <v>1000</v>
      </c>
      <c r="J914" s="897">
        <v>665000</v>
      </c>
      <c r="K914" s="692">
        <f t="shared" si="111"/>
        <v>665000000</v>
      </c>
      <c r="L914" s="692">
        <f t="shared" si="109"/>
        <v>3500</v>
      </c>
      <c r="M914" s="895" t="s">
        <v>1785</v>
      </c>
      <c r="N914" s="898">
        <v>0</v>
      </c>
      <c r="O914" s="403"/>
      <c r="P914" s="403" t="s">
        <v>1783</v>
      </c>
      <c r="Q914" s="2084">
        <f t="shared" si="112"/>
        <v>1</v>
      </c>
      <c r="R914" s="2332">
        <f t="shared" si="113"/>
        <v>1000</v>
      </c>
    </row>
    <row r="915" spans="1:18" ht="18">
      <c r="A915" s="894">
        <v>660</v>
      </c>
      <c r="B915" s="894">
        <v>8</v>
      </c>
      <c r="C915" s="894" t="s">
        <v>1791</v>
      </c>
      <c r="D915" s="692" t="s">
        <v>1781</v>
      </c>
      <c r="E915" s="692" t="s">
        <v>47</v>
      </c>
      <c r="F915" s="692">
        <v>200</v>
      </c>
      <c r="G915" s="895">
        <v>609000</v>
      </c>
      <c r="H915" s="692">
        <f t="shared" si="110"/>
        <v>121800000</v>
      </c>
      <c r="I915" s="896">
        <v>200</v>
      </c>
      <c r="J915" s="897">
        <v>620000</v>
      </c>
      <c r="K915" s="692">
        <f t="shared" si="111"/>
        <v>124000000</v>
      </c>
      <c r="L915" s="692">
        <f t="shared" si="109"/>
        <v>11000</v>
      </c>
      <c r="M915" s="895" t="s">
        <v>1782</v>
      </c>
      <c r="N915" s="898">
        <v>0</v>
      </c>
      <c r="O915" s="403"/>
      <c r="P915" s="403" t="s">
        <v>1783</v>
      </c>
      <c r="Q915" s="2084">
        <f t="shared" si="112"/>
        <v>1</v>
      </c>
      <c r="R915" s="2332">
        <f t="shared" si="113"/>
        <v>200</v>
      </c>
    </row>
    <row r="916" spans="1:18" ht="27">
      <c r="A916" s="894">
        <v>661</v>
      </c>
      <c r="B916" s="894">
        <v>9</v>
      </c>
      <c r="C916" s="894" t="s">
        <v>1792</v>
      </c>
      <c r="D916" s="692" t="s">
        <v>1781</v>
      </c>
      <c r="E916" s="692" t="s">
        <v>47</v>
      </c>
      <c r="F916" s="692">
        <v>1000</v>
      </c>
      <c r="G916" s="895">
        <v>720300</v>
      </c>
      <c r="H916" s="692">
        <f t="shared" si="110"/>
        <v>720300000</v>
      </c>
      <c r="I916" s="896">
        <v>1000</v>
      </c>
      <c r="J916" s="897">
        <v>723000</v>
      </c>
      <c r="K916" s="692">
        <f t="shared" si="111"/>
        <v>723000000</v>
      </c>
      <c r="L916" s="692">
        <f t="shared" si="109"/>
        <v>2700</v>
      </c>
      <c r="M916" s="895" t="s">
        <v>1785</v>
      </c>
      <c r="N916" s="898">
        <v>0</v>
      </c>
      <c r="O916" s="403"/>
      <c r="P916" s="403" t="s">
        <v>1783</v>
      </c>
      <c r="Q916" s="2084">
        <f t="shared" si="112"/>
        <v>1</v>
      </c>
      <c r="R916" s="2332">
        <f t="shared" si="113"/>
        <v>1000</v>
      </c>
    </row>
    <row r="917" spans="1:18" ht="27">
      <c r="A917" s="894">
        <v>662</v>
      </c>
      <c r="B917" s="894">
        <v>10</v>
      </c>
      <c r="C917" s="894" t="s">
        <v>1793</v>
      </c>
      <c r="D917" s="692" t="s">
        <v>1781</v>
      </c>
      <c r="E917" s="692" t="s">
        <v>47</v>
      </c>
      <c r="F917" s="692">
        <v>200</v>
      </c>
      <c r="G917" s="895">
        <v>2551500</v>
      </c>
      <c r="H917" s="692">
        <f t="shared" si="110"/>
        <v>510300000</v>
      </c>
      <c r="I917" s="896">
        <v>200</v>
      </c>
      <c r="J917" s="897">
        <v>2560000</v>
      </c>
      <c r="K917" s="692">
        <f t="shared" si="111"/>
        <v>512000000</v>
      </c>
      <c r="L917" s="692">
        <f t="shared" si="109"/>
        <v>8500</v>
      </c>
      <c r="M917" s="895" t="s">
        <v>1785</v>
      </c>
      <c r="N917" s="898">
        <v>1</v>
      </c>
      <c r="O917" s="403"/>
      <c r="P917" s="403" t="s">
        <v>1783</v>
      </c>
      <c r="Q917" s="2084">
        <f t="shared" ref="Q917:Q924" si="114">R917/F917</f>
        <v>1</v>
      </c>
      <c r="R917" s="2332">
        <f t="shared" ref="R917:R924" si="115">+F917-(S917+T917+U917+W917+X917+Y917+Z917+AA917+AB917+AC917+AD917+AE917)</f>
        <v>200</v>
      </c>
    </row>
    <row r="918" spans="1:18" ht="18">
      <c r="A918" s="894">
        <v>663</v>
      </c>
      <c r="B918" s="894">
        <v>11</v>
      </c>
      <c r="C918" s="899" t="s">
        <v>1794</v>
      </c>
      <c r="D918" s="692" t="s">
        <v>1781</v>
      </c>
      <c r="E918" s="692" t="s">
        <v>1795</v>
      </c>
      <c r="F918" s="692">
        <v>10</v>
      </c>
      <c r="G918" s="895">
        <v>9450000</v>
      </c>
      <c r="H918" s="692">
        <f t="shared" si="110"/>
        <v>94500000</v>
      </c>
      <c r="I918" s="896">
        <v>10</v>
      </c>
      <c r="J918" s="897">
        <v>9500000</v>
      </c>
      <c r="K918" s="692">
        <f t="shared" si="111"/>
        <v>95000000</v>
      </c>
      <c r="L918" s="692">
        <f t="shared" si="109"/>
        <v>50000</v>
      </c>
      <c r="M918" s="895" t="s">
        <v>1785</v>
      </c>
      <c r="N918" s="898">
        <v>0</v>
      </c>
      <c r="O918" s="403"/>
      <c r="P918" s="403" t="s">
        <v>1783</v>
      </c>
      <c r="Q918" s="2084">
        <f t="shared" si="114"/>
        <v>1</v>
      </c>
      <c r="R918" s="2332">
        <f t="shared" si="115"/>
        <v>10</v>
      </c>
    </row>
    <row r="919" spans="1:18" ht="18">
      <c r="A919" s="894">
        <v>664</v>
      </c>
      <c r="B919" s="894">
        <v>12</v>
      </c>
      <c r="C919" s="899" t="s">
        <v>1796</v>
      </c>
      <c r="D919" s="692" t="s">
        <v>1781</v>
      </c>
      <c r="E919" s="692" t="s">
        <v>1795</v>
      </c>
      <c r="F919" s="692">
        <v>10</v>
      </c>
      <c r="G919" s="895">
        <v>3360000</v>
      </c>
      <c r="H919" s="692">
        <f t="shared" si="110"/>
        <v>33600000</v>
      </c>
      <c r="I919" s="896">
        <v>10</v>
      </c>
      <c r="J919" s="897">
        <v>3500000</v>
      </c>
      <c r="K919" s="692">
        <f t="shared" si="111"/>
        <v>35000000</v>
      </c>
      <c r="L919" s="692">
        <f t="shared" si="109"/>
        <v>140000</v>
      </c>
      <c r="M919" s="895" t="s">
        <v>1797</v>
      </c>
      <c r="N919" s="898">
        <v>0</v>
      </c>
      <c r="O919" s="403"/>
      <c r="P919" s="403" t="s">
        <v>1783</v>
      </c>
      <c r="Q919" s="2084">
        <f t="shared" si="114"/>
        <v>1</v>
      </c>
      <c r="R919" s="2332">
        <f t="shared" si="115"/>
        <v>10</v>
      </c>
    </row>
    <row r="920" spans="1:18" ht="18">
      <c r="A920" s="894">
        <v>665</v>
      </c>
      <c r="B920" s="894">
        <v>13</v>
      </c>
      <c r="C920" s="899" t="s">
        <v>1798</v>
      </c>
      <c r="D920" s="692" t="s">
        <v>1781</v>
      </c>
      <c r="E920" s="692" t="s">
        <v>1799</v>
      </c>
      <c r="F920" s="692">
        <v>3</v>
      </c>
      <c r="G920" s="895">
        <v>2604000</v>
      </c>
      <c r="H920" s="692">
        <f t="shared" si="110"/>
        <v>7812000</v>
      </c>
      <c r="I920" s="896">
        <v>3</v>
      </c>
      <c r="J920" s="897">
        <v>2620000</v>
      </c>
      <c r="K920" s="692">
        <f t="shared" si="111"/>
        <v>7860000</v>
      </c>
      <c r="L920" s="692">
        <f t="shared" si="109"/>
        <v>16000</v>
      </c>
      <c r="M920" s="895" t="s">
        <v>1785</v>
      </c>
      <c r="N920" s="898">
        <v>0</v>
      </c>
      <c r="O920" s="403"/>
      <c r="P920" s="403" t="s">
        <v>1783</v>
      </c>
      <c r="Q920" s="2084">
        <f t="shared" si="114"/>
        <v>1</v>
      </c>
      <c r="R920" s="2332">
        <f t="shared" si="115"/>
        <v>3</v>
      </c>
    </row>
    <row r="921" spans="1:18" ht="18">
      <c r="A921" s="894">
        <v>666</v>
      </c>
      <c r="B921" s="894">
        <v>14</v>
      </c>
      <c r="C921" s="900" t="s">
        <v>1800</v>
      </c>
      <c r="D921" s="896" t="s">
        <v>1781</v>
      </c>
      <c r="E921" s="896" t="s">
        <v>1801</v>
      </c>
      <c r="F921" s="896">
        <v>200</v>
      </c>
      <c r="G921" s="896">
        <v>8400000</v>
      </c>
      <c r="H921" s="692">
        <f t="shared" si="110"/>
        <v>1680000000</v>
      </c>
      <c r="I921" s="896">
        <v>200</v>
      </c>
      <c r="J921" s="897">
        <v>8900000</v>
      </c>
      <c r="K921" s="897">
        <f t="shared" si="111"/>
        <v>1780000000</v>
      </c>
      <c r="L921" s="692">
        <f t="shared" si="109"/>
        <v>500000</v>
      </c>
      <c r="M921" s="895" t="s">
        <v>1785</v>
      </c>
      <c r="N921" s="901">
        <v>1</v>
      </c>
      <c r="O921" s="403"/>
      <c r="P921" s="403" t="s">
        <v>1783</v>
      </c>
      <c r="Q921" s="2084">
        <f t="shared" si="114"/>
        <v>1</v>
      </c>
      <c r="R921" s="2332">
        <f t="shared" si="115"/>
        <v>200</v>
      </c>
    </row>
    <row r="922" spans="1:18" ht="18">
      <c r="A922" s="894">
        <v>667</v>
      </c>
      <c r="B922" s="894">
        <v>15</v>
      </c>
      <c r="C922" s="899" t="s">
        <v>1802</v>
      </c>
      <c r="D922" s="692" t="s">
        <v>1781</v>
      </c>
      <c r="E922" s="692" t="s">
        <v>1799</v>
      </c>
      <c r="F922" s="692">
        <v>20</v>
      </c>
      <c r="G922" s="895">
        <v>1491000</v>
      </c>
      <c r="H922" s="692">
        <f t="shared" si="110"/>
        <v>29820000</v>
      </c>
      <c r="I922" s="896">
        <v>20</v>
      </c>
      <c r="J922" s="897">
        <v>1500000</v>
      </c>
      <c r="K922" s="692">
        <f t="shared" si="111"/>
        <v>30000000</v>
      </c>
      <c r="L922" s="692">
        <f t="shared" si="109"/>
        <v>9000</v>
      </c>
      <c r="M922" s="895" t="s">
        <v>1785</v>
      </c>
      <c r="N922" s="898">
        <v>0</v>
      </c>
      <c r="O922" s="403"/>
      <c r="P922" s="403" t="s">
        <v>1783</v>
      </c>
      <c r="Q922" s="2084">
        <f t="shared" si="114"/>
        <v>1</v>
      </c>
      <c r="R922" s="2332">
        <f t="shared" si="115"/>
        <v>20</v>
      </c>
    </row>
    <row r="923" spans="1:18" ht="18">
      <c r="A923" s="894">
        <v>668</v>
      </c>
      <c r="B923" s="894">
        <v>16</v>
      </c>
      <c r="C923" s="902" t="s">
        <v>1803</v>
      </c>
      <c r="D923" s="692" t="s">
        <v>1781</v>
      </c>
      <c r="E923" s="692" t="s">
        <v>1795</v>
      </c>
      <c r="F923" s="692">
        <v>50</v>
      </c>
      <c r="G923" s="895">
        <v>7455000</v>
      </c>
      <c r="H923" s="692">
        <f t="shared" si="110"/>
        <v>372750000</v>
      </c>
      <c r="I923" s="896">
        <v>50</v>
      </c>
      <c r="J923" s="692">
        <v>7500000</v>
      </c>
      <c r="K923" s="692">
        <f t="shared" si="111"/>
        <v>375000000</v>
      </c>
      <c r="L923" s="692">
        <f t="shared" si="109"/>
        <v>45000</v>
      </c>
      <c r="M923" s="895" t="s">
        <v>1785</v>
      </c>
      <c r="N923" s="898">
        <v>0</v>
      </c>
      <c r="O923" s="403"/>
      <c r="P923" s="403" t="s">
        <v>1783</v>
      </c>
      <c r="Q923" s="2084">
        <f t="shared" si="114"/>
        <v>1</v>
      </c>
      <c r="R923" s="2332">
        <f t="shared" si="115"/>
        <v>50</v>
      </c>
    </row>
    <row r="924" spans="1:18" ht="18">
      <c r="A924" s="903">
        <v>669</v>
      </c>
      <c r="B924" s="903">
        <v>17</v>
      </c>
      <c r="C924" s="904" t="s">
        <v>1804</v>
      </c>
      <c r="D924" s="711" t="s">
        <v>1781</v>
      </c>
      <c r="E924" s="711" t="s">
        <v>47</v>
      </c>
      <c r="F924" s="711">
        <v>25</v>
      </c>
      <c r="G924" s="905">
        <v>2551500</v>
      </c>
      <c r="H924" s="711">
        <f t="shared" si="110"/>
        <v>63787500</v>
      </c>
      <c r="I924" s="906">
        <v>25</v>
      </c>
      <c r="J924" s="711">
        <v>2560000</v>
      </c>
      <c r="K924" s="711">
        <f t="shared" si="111"/>
        <v>64000000</v>
      </c>
      <c r="L924" s="711">
        <f t="shared" si="109"/>
        <v>8500</v>
      </c>
      <c r="M924" s="905" t="s">
        <v>1785</v>
      </c>
      <c r="N924" s="907">
        <v>0</v>
      </c>
      <c r="O924" s="420"/>
      <c r="P924" s="420" t="s">
        <v>1783</v>
      </c>
      <c r="Q924" s="2084">
        <f t="shared" si="114"/>
        <v>1</v>
      </c>
      <c r="R924" s="2332">
        <f t="shared" si="115"/>
        <v>25</v>
      </c>
    </row>
    <row r="925" spans="1:18">
      <c r="A925" s="908"/>
      <c r="B925" s="908"/>
      <c r="C925" s="909" t="s">
        <v>1805</v>
      </c>
      <c r="D925" s="910"/>
      <c r="E925" s="19"/>
      <c r="F925" s="911"/>
      <c r="G925" s="912"/>
      <c r="H925" s="2306">
        <f>SUM(H908:H924)</f>
        <v>8352319500</v>
      </c>
      <c r="I925" s="248"/>
      <c r="J925" s="248"/>
      <c r="K925" s="913">
        <f>SUM(K908:K924)</f>
        <v>8523560000</v>
      </c>
      <c r="L925" s="248"/>
      <c r="M925" s="914"/>
      <c r="N925" s="915"/>
      <c r="O925" s="247"/>
      <c r="P925" s="142"/>
      <c r="Q925" s="115"/>
    </row>
    <row r="926" spans="1:18">
      <c r="A926" s="916"/>
      <c r="B926" s="916"/>
      <c r="C926" s="675"/>
      <c r="D926" s="917"/>
      <c r="E926" s="917"/>
      <c r="F926" s="917"/>
      <c r="G926" s="674"/>
      <c r="H926" s="674"/>
      <c r="I926" s="674"/>
      <c r="J926" s="918"/>
    </row>
    <row r="927" spans="1:18">
      <c r="A927" s="2152" t="s">
        <v>1806</v>
      </c>
      <c r="B927" s="2152"/>
      <c r="C927" s="2152"/>
      <c r="D927" s="919" t="s">
        <v>1807</v>
      </c>
      <c r="E927" s="919"/>
      <c r="F927" s="919"/>
      <c r="G927" s="919"/>
      <c r="H927" s="919"/>
      <c r="I927" s="919"/>
      <c r="J927" s="919"/>
    </row>
    <row r="929" spans="1:31">
      <c r="A929" s="71" t="s">
        <v>1808</v>
      </c>
    </row>
    <row r="930" spans="1:31" s="12" customFormat="1" ht="15.6" customHeight="1">
      <c r="A930" s="2092" t="s">
        <v>5</v>
      </c>
      <c r="B930" s="2092" t="s">
        <v>6</v>
      </c>
      <c r="C930" s="2094" t="s">
        <v>7</v>
      </c>
      <c r="D930" s="2096" t="s">
        <v>8</v>
      </c>
      <c r="E930" s="2092" t="s">
        <v>9</v>
      </c>
      <c r="F930" s="2098" t="s">
        <v>10</v>
      </c>
      <c r="G930" s="2098"/>
      <c r="H930" s="2098"/>
      <c r="I930" s="2098" t="s">
        <v>11</v>
      </c>
      <c r="J930" s="2098"/>
      <c r="K930" s="2098"/>
      <c r="L930" s="2099" t="s">
        <v>12</v>
      </c>
      <c r="M930" s="9"/>
      <c r="N930" s="9"/>
      <c r="O930" s="9"/>
      <c r="P930" s="2101" t="s">
        <v>13</v>
      </c>
      <c r="Q930" s="2265" t="s">
        <v>4740</v>
      </c>
      <c r="R930" s="2319" t="s">
        <v>4754</v>
      </c>
      <c r="S930" s="2267" t="s">
        <v>4767</v>
      </c>
      <c r="T930" s="2268"/>
      <c r="U930" s="2268"/>
      <c r="V930" s="2268"/>
      <c r="W930" s="2269"/>
      <c r="X930" s="2267" t="s">
        <v>4768</v>
      </c>
      <c r="Y930" s="2268"/>
      <c r="Z930" s="2268"/>
      <c r="AA930" s="2268"/>
      <c r="AB930" s="2268"/>
      <c r="AC930" s="2268"/>
      <c r="AD930" s="2268"/>
      <c r="AE930" s="2269"/>
    </row>
    <row r="931" spans="1:31" s="16" customFormat="1" ht="47.45" customHeight="1">
      <c r="A931" s="2093"/>
      <c r="B931" s="2093"/>
      <c r="C931" s="2095"/>
      <c r="D931" s="2097"/>
      <c r="E931" s="2093"/>
      <c r="F931" s="13" t="s">
        <v>14</v>
      </c>
      <c r="G931" s="13" t="s">
        <v>15</v>
      </c>
      <c r="H931" s="13" t="s">
        <v>16</v>
      </c>
      <c r="I931" s="13" t="s">
        <v>14</v>
      </c>
      <c r="J931" s="13" t="s">
        <v>15</v>
      </c>
      <c r="K931" s="13" t="s">
        <v>16</v>
      </c>
      <c r="L931" s="2100"/>
      <c r="M931" s="14" t="s">
        <v>17</v>
      </c>
      <c r="N931" s="14" t="s">
        <v>18</v>
      </c>
      <c r="O931" s="14" t="s">
        <v>19</v>
      </c>
      <c r="P931" s="2102"/>
      <c r="Q931" s="2266"/>
      <c r="R931" s="2320"/>
      <c r="S931" s="2263" t="s">
        <v>4755</v>
      </c>
      <c r="T931" s="2263" t="s">
        <v>4756</v>
      </c>
      <c r="U931" s="2263" t="s">
        <v>4757</v>
      </c>
      <c r="V931" s="2263" t="s">
        <v>4758</v>
      </c>
      <c r="W931" s="2263" t="s">
        <v>4759</v>
      </c>
      <c r="X931" s="2264" t="s">
        <v>4760</v>
      </c>
      <c r="Y931" s="2264" t="s">
        <v>4761</v>
      </c>
      <c r="Z931" s="2264" t="s">
        <v>4762</v>
      </c>
      <c r="AA931" s="2264" t="s">
        <v>4763</v>
      </c>
      <c r="AB931" s="2264" t="s">
        <v>4764</v>
      </c>
      <c r="AC931" s="2264" t="s">
        <v>4765</v>
      </c>
      <c r="AD931" s="2264" t="s">
        <v>4766</v>
      </c>
      <c r="AE931" s="2264" t="s">
        <v>4755</v>
      </c>
    </row>
    <row r="932" spans="1:31" s="70" customFormat="1">
      <c r="A932" s="331">
        <v>1</v>
      </c>
      <c r="B932" s="331">
        <v>2</v>
      </c>
      <c r="C932" s="63">
        <v>3</v>
      </c>
      <c r="D932" s="331">
        <v>4</v>
      </c>
      <c r="E932" s="331">
        <v>5</v>
      </c>
      <c r="F932" s="57">
        <v>6</v>
      </c>
      <c r="G932" s="57">
        <v>7</v>
      </c>
      <c r="H932" s="331">
        <v>8</v>
      </c>
      <c r="I932" s="331">
        <v>9</v>
      </c>
      <c r="J932" s="331">
        <v>10</v>
      </c>
      <c r="K932" s="331">
        <v>11</v>
      </c>
      <c r="L932" s="331">
        <v>12</v>
      </c>
      <c r="M932" s="331">
        <v>9</v>
      </c>
      <c r="N932" s="331">
        <v>10</v>
      </c>
      <c r="O932" s="331">
        <v>11</v>
      </c>
      <c r="P932" s="21">
        <v>13</v>
      </c>
      <c r="Q932" s="22"/>
      <c r="R932" s="2321"/>
      <c r="S932" s="485"/>
    </row>
    <row r="933" spans="1:31" s="927" customFormat="1" ht="36">
      <c r="A933" s="920">
        <v>670</v>
      </c>
      <c r="B933" s="920">
        <v>1</v>
      </c>
      <c r="C933" s="920" t="s">
        <v>1809</v>
      </c>
      <c r="D933" s="920" t="s">
        <v>1810</v>
      </c>
      <c r="E933" s="920" t="s">
        <v>47</v>
      </c>
      <c r="F933" s="921">
        <v>500</v>
      </c>
      <c r="G933" s="922">
        <v>450000</v>
      </c>
      <c r="H933" s="922">
        <f>F933*G933</f>
        <v>225000000</v>
      </c>
      <c r="I933" s="923">
        <v>500</v>
      </c>
      <c r="J933" s="924">
        <v>500000</v>
      </c>
      <c r="K933" s="923">
        <f>I933*J933</f>
        <v>250000000</v>
      </c>
      <c r="L933" s="925">
        <f t="shared" ref="L933:L946" si="116">J933-G933</f>
        <v>50000</v>
      </c>
      <c r="M933" s="925" t="s">
        <v>1811</v>
      </c>
      <c r="N933" s="925" t="s">
        <v>1812</v>
      </c>
      <c r="O933" s="925">
        <v>1</v>
      </c>
      <c r="P933" s="921" t="s">
        <v>1813</v>
      </c>
      <c r="Q933" s="2084">
        <f>R933/F933</f>
        <v>1</v>
      </c>
      <c r="R933" s="2332">
        <f>+F933-(S933+T933+U933+W933+X933+Y933+Z933+AA933+AB933+AC933+AD933+AE933)</f>
        <v>500</v>
      </c>
      <c r="S933" s="2086"/>
      <c r="T933" s="2086"/>
      <c r="U933" s="2086"/>
      <c r="V933" s="2086"/>
      <c r="W933" s="2087"/>
      <c r="X933" s="2088"/>
      <c r="Y933" s="2089"/>
      <c r="Z933" s="2085"/>
      <c r="AA933" s="2085"/>
      <c r="AB933" s="2085"/>
      <c r="AC933" s="2085"/>
      <c r="AD933" s="2085"/>
      <c r="AE933" s="2089"/>
    </row>
    <row r="934" spans="1:31" s="927" customFormat="1" ht="36">
      <c r="A934" s="929">
        <v>671</v>
      </c>
      <c r="B934" s="929">
        <v>2</v>
      </c>
      <c r="C934" s="929" t="s">
        <v>1814</v>
      </c>
      <c r="D934" s="929" t="s">
        <v>1810</v>
      </c>
      <c r="E934" s="929" t="s">
        <v>47</v>
      </c>
      <c r="F934" s="930">
        <v>50</v>
      </c>
      <c r="G934" s="931">
        <v>450000</v>
      </c>
      <c r="H934" s="931">
        <f t="shared" ref="H934:H946" si="117">F934*G934</f>
        <v>22500000</v>
      </c>
      <c r="I934" s="932">
        <v>50</v>
      </c>
      <c r="J934" s="933">
        <v>500000</v>
      </c>
      <c r="K934" s="932">
        <f t="shared" ref="K934:K946" si="118">I934*J934</f>
        <v>25000000</v>
      </c>
      <c r="L934" s="934">
        <f t="shared" si="116"/>
        <v>50000</v>
      </c>
      <c r="M934" s="934" t="s">
        <v>1811</v>
      </c>
      <c r="N934" s="934" t="s">
        <v>1815</v>
      </c>
      <c r="O934" s="934">
        <v>1</v>
      </c>
      <c r="P934" s="930" t="s">
        <v>1813</v>
      </c>
      <c r="Q934" s="2084">
        <f t="shared" ref="Q934:Q946" si="119">R934/F934</f>
        <v>1</v>
      </c>
      <c r="R934" s="2332">
        <f t="shared" ref="R934:R946" si="120">+F934-(S934+T934+U934+W934+X934+Y934+Z934+AA934+AB934+AC934+AD934+AE934)</f>
        <v>50</v>
      </c>
      <c r="S934" s="2086"/>
      <c r="T934" s="2086"/>
      <c r="U934" s="2086"/>
      <c r="V934" s="2086"/>
      <c r="W934" s="2087"/>
      <c r="X934" s="2088"/>
      <c r="Y934" s="2089"/>
      <c r="Z934" s="2085"/>
      <c r="AA934" s="2085"/>
      <c r="AB934" s="2085"/>
      <c r="AC934" s="2085"/>
      <c r="AD934" s="2085"/>
      <c r="AE934" s="2089"/>
    </row>
    <row r="935" spans="1:31" s="927" customFormat="1" ht="36">
      <c r="A935" s="929">
        <v>672</v>
      </c>
      <c r="B935" s="929">
        <v>3</v>
      </c>
      <c r="C935" s="929" t="s">
        <v>1816</v>
      </c>
      <c r="D935" s="929" t="s">
        <v>1817</v>
      </c>
      <c r="E935" s="929" t="s">
        <v>47</v>
      </c>
      <c r="F935" s="930">
        <v>10</v>
      </c>
      <c r="G935" s="931">
        <v>2500000</v>
      </c>
      <c r="H935" s="931">
        <f t="shared" si="117"/>
        <v>25000000</v>
      </c>
      <c r="I935" s="932">
        <v>10</v>
      </c>
      <c r="J935" s="933">
        <v>2610000</v>
      </c>
      <c r="K935" s="932">
        <f t="shared" si="118"/>
        <v>26100000</v>
      </c>
      <c r="L935" s="934">
        <f t="shared" si="116"/>
        <v>110000</v>
      </c>
      <c r="M935" s="934" t="s">
        <v>1818</v>
      </c>
      <c r="N935" s="934" t="s">
        <v>1819</v>
      </c>
      <c r="O935" s="934">
        <v>1</v>
      </c>
      <c r="P935" s="930" t="s">
        <v>1813</v>
      </c>
      <c r="Q935" s="2084">
        <f t="shared" si="119"/>
        <v>1</v>
      </c>
      <c r="R935" s="2332">
        <f t="shared" si="120"/>
        <v>10</v>
      </c>
      <c r="S935" s="2086"/>
      <c r="T935" s="2086"/>
      <c r="U935" s="2086"/>
      <c r="V935" s="2086"/>
      <c r="W935" s="2087"/>
      <c r="X935" s="2088"/>
      <c r="Y935" s="2089"/>
      <c r="Z935" s="2085"/>
      <c r="AA935" s="2085"/>
      <c r="AB935" s="2085"/>
      <c r="AC935" s="2085"/>
      <c r="AD935" s="2085"/>
      <c r="AE935" s="2089"/>
    </row>
    <row r="936" spans="1:31" s="927" customFormat="1" ht="36">
      <c r="A936" s="929">
        <v>673</v>
      </c>
      <c r="B936" s="929">
        <v>4</v>
      </c>
      <c r="C936" s="929" t="s">
        <v>1820</v>
      </c>
      <c r="D936" s="929" t="s">
        <v>1810</v>
      </c>
      <c r="E936" s="929" t="s">
        <v>47</v>
      </c>
      <c r="F936" s="930">
        <v>50</v>
      </c>
      <c r="G936" s="931">
        <v>3800000</v>
      </c>
      <c r="H936" s="931">
        <f t="shared" si="117"/>
        <v>190000000</v>
      </c>
      <c r="I936" s="932">
        <v>50</v>
      </c>
      <c r="J936" s="933">
        <v>3950000</v>
      </c>
      <c r="K936" s="932">
        <f t="shared" si="118"/>
        <v>197500000</v>
      </c>
      <c r="L936" s="934">
        <f t="shared" si="116"/>
        <v>150000</v>
      </c>
      <c r="M936" s="934" t="s">
        <v>1821</v>
      </c>
      <c r="N936" s="934" t="s">
        <v>1822</v>
      </c>
      <c r="O936" s="934">
        <v>1</v>
      </c>
      <c r="P936" s="930" t="s">
        <v>1813</v>
      </c>
      <c r="Q936" s="2084">
        <f t="shared" si="119"/>
        <v>1</v>
      </c>
      <c r="R936" s="2332">
        <f t="shared" si="120"/>
        <v>50</v>
      </c>
      <c r="S936" s="2086"/>
      <c r="T936" s="2086"/>
      <c r="U936" s="2086"/>
      <c r="V936" s="2086"/>
      <c r="W936" s="2087"/>
      <c r="X936" s="2088"/>
      <c r="Y936" s="2089"/>
      <c r="Z936" s="2085"/>
      <c r="AA936" s="2085"/>
      <c r="AB936" s="2085"/>
      <c r="AC936" s="2085"/>
      <c r="AD936" s="2085"/>
      <c r="AE936" s="2089"/>
    </row>
    <row r="937" spans="1:31" s="927" customFormat="1" ht="36">
      <c r="A937" s="929">
        <v>674</v>
      </c>
      <c r="B937" s="929">
        <v>5</v>
      </c>
      <c r="C937" s="929" t="s">
        <v>1823</v>
      </c>
      <c r="D937" s="929" t="s">
        <v>1810</v>
      </c>
      <c r="E937" s="929" t="s">
        <v>47</v>
      </c>
      <c r="F937" s="930">
        <v>50</v>
      </c>
      <c r="G937" s="931">
        <v>800000</v>
      </c>
      <c r="H937" s="931">
        <f t="shared" si="117"/>
        <v>40000000</v>
      </c>
      <c r="I937" s="932">
        <v>50</v>
      </c>
      <c r="J937" s="933">
        <v>870000</v>
      </c>
      <c r="K937" s="932">
        <f t="shared" si="118"/>
        <v>43500000</v>
      </c>
      <c r="L937" s="934">
        <f t="shared" si="116"/>
        <v>70000</v>
      </c>
      <c r="M937" s="934" t="s">
        <v>1821</v>
      </c>
      <c r="N937" s="934" t="s">
        <v>1824</v>
      </c>
      <c r="O937" s="934">
        <v>1</v>
      </c>
      <c r="P937" s="930" t="s">
        <v>1813</v>
      </c>
      <c r="Q937" s="2084">
        <f t="shared" si="119"/>
        <v>1</v>
      </c>
      <c r="R937" s="2332">
        <f t="shared" si="120"/>
        <v>50</v>
      </c>
      <c r="S937" s="2086"/>
      <c r="T937" s="2086"/>
      <c r="U937" s="2086"/>
      <c r="V937" s="2086"/>
      <c r="W937" s="2087"/>
      <c r="X937" s="2088"/>
      <c r="Y937" s="2089"/>
      <c r="Z937" s="2085"/>
      <c r="AA937" s="2085"/>
      <c r="AB937" s="2085"/>
      <c r="AC937" s="2085"/>
      <c r="AD937" s="2085"/>
      <c r="AE937" s="2089"/>
    </row>
    <row r="938" spans="1:31" s="927" customFormat="1" ht="36">
      <c r="A938" s="929">
        <v>675</v>
      </c>
      <c r="B938" s="929">
        <v>6</v>
      </c>
      <c r="C938" s="929" t="s">
        <v>1825</v>
      </c>
      <c r="D938" s="929" t="s">
        <v>1826</v>
      </c>
      <c r="E938" s="929" t="s">
        <v>192</v>
      </c>
      <c r="F938" s="930">
        <v>100</v>
      </c>
      <c r="G938" s="931">
        <v>1500000</v>
      </c>
      <c r="H938" s="931">
        <f t="shared" si="117"/>
        <v>150000000</v>
      </c>
      <c r="I938" s="932">
        <v>100</v>
      </c>
      <c r="J938" s="933">
        <v>1600000</v>
      </c>
      <c r="K938" s="932">
        <f t="shared" si="118"/>
        <v>160000000</v>
      </c>
      <c r="L938" s="934">
        <f t="shared" si="116"/>
        <v>100000</v>
      </c>
      <c r="M938" s="934" t="s">
        <v>1811</v>
      </c>
      <c r="N938" s="934" t="s">
        <v>1827</v>
      </c>
      <c r="O938" s="934">
        <v>1</v>
      </c>
      <c r="P938" s="930" t="s">
        <v>1813</v>
      </c>
      <c r="Q938" s="2084">
        <f t="shared" si="119"/>
        <v>1</v>
      </c>
      <c r="R938" s="2332">
        <f t="shared" si="120"/>
        <v>100</v>
      </c>
      <c r="S938" s="2086"/>
      <c r="T938" s="2086"/>
      <c r="U938" s="2086"/>
      <c r="V938" s="2086"/>
      <c r="W938" s="2087"/>
      <c r="X938" s="2088"/>
      <c r="Y938" s="2089"/>
      <c r="Z938" s="2085"/>
      <c r="AA938" s="2085"/>
      <c r="AB938" s="2085"/>
      <c r="AC938" s="2085"/>
      <c r="AD938" s="2085"/>
      <c r="AE938" s="2089"/>
    </row>
    <row r="939" spans="1:31" s="927" customFormat="1" ht="36">
      <c r="A939" s="929">
        <v>676</v>
      </c>
      <c r="B939" s="929">
        <v>7</v>
      </c>
      <c r="C939" s="929" t="s">
        <v>1828</v>
      </c>
      <c r="D939" s="929" t="s">
        <v>1810</v>
      </c>
      <c r="E939" s="929" t="s">
        <v>47</v>
      </c>
      <c r="F939" s="930">
        <v>2</v>
      </c>
      <c r="G939" s="931">
        <v>18000000</v>
      </c>
      <c r="H939" s="931">
        <f t="shared" si="117"/>
        <v>36000000</v>
      </c>
      <c r="I939" s="932">
        <v>2</v>
      </c>
      <c r="J939" s="933">
        <v>18700000</v>
      </c>
      <c r="K939" s="932">
        <f t="shared" si="118"/>
        <v>37400000</v>
      </c>
      <c r="L939" s="934">
        <f t="shared" si="116"/>
        <v>700000</v>
      </c>
      <c r="M939" s="934" t="s">
        <v>1821</v>
      </c>
      <c r="N939" s="934" t="s">
        <v>1829</v>
      </c>
      <c r="O939" s="934">
        <v>1</v>
      </c>
      <c r="P939" s="930" t="s">
        <v>1813</v>
      </c>
      <c r="Q939" s="2084">
        <f t="shared" si="119"/>
        <v>1</v>
      </c>
      <c r="R939" s="2332">
        <f t="shared" si="120"/>
        <v>2</v>
      </c>
      <c r="S939" s="2086"/>
      <c r="T939" s="2086"/>
      <c r="U939" s="2086"/>
      <c r="V939" s="2086"/>
      <c r="W939" s="2087"/>
      <c r="X939" s="2088"/>
      <c r="Y939" s="2089"/>
      <c r="Z939" s="2085"/>
      <c r="AA939" s="2085"/>
      <c r="AB939" s="2085"/>
      <c r="AC939" s="2085"/>
      <c r="AD939" s="2085"/>
      <c r="AE939" s="2089"/>
    </row>
    <row r="940" spans="1:31" s="927" customFormat="1" ht="36">
      <c r="A940" s="929">
        <v>677</v>
      </c>
      <c r="B940" s="929">
        <v>8</v>
      </c>
      <c r="C940" s="929" t="s">
        <v>1830</v>
      </c>
      <c r="D940" s="929" t="s">
        <v>1826</v>
      </c>
      <c r="E940" s="929" t="s">
        <v>192</v>
      </c>
      <c r="F940" s="930">
        <v>50</v>
      </c>
      <c r="G940" s="931">
        <v>18200000</v>
      </c>
      <c r="H940" s="931">
        <f t="shared" si="117"/>
        <v>910000000</v>
      </c>
      <c r="I940" s="932">
        <v>50</v>
      </c>
      <c r="J940" s="933">
        <v>18800000</v>
      </c>
      <c r="K940" s="932">
        <f t="shared" si="118"/>
        <v>940000000</v>
      </c>
      <c r="L940" s="934">
        <f t="shared" si="116"/>
        <v>600000</v>
      </c>
      <c r="M940" s="934" t="s">
        <v>1831</v>
      </c>
      <c r="N940" s="934" t="s">
        <v>1832</v>
      </c>
      <c r="O940" s="934">
        <v>1</v>
      </c>
      <c r="P940" s="930" t="s">
        <v>1813</v>
      </c>
      <c r="Q940" s="2084">
        <f t="shared" si="119"/>
        <v>1</v>
      </c>
      <c r="R940" s="2332">
        <f t="shared" si="120"/>
        <v>50</v>
      </c>
      <c r="S940" s="2086"/>
      <c r="T940" s="2086"/>
      <c r="U940" s="2086"/>
      <c r="V940" s="2086"/>
      <c r="W940" s="2087"/>
      <c r="X940" s="2088"/>
      <c r="Y940" s="2089"/>
      <c r="Z940" s="2085"/>
      <c r="AA940" s="2085"/>
      <c r="AB940" s="2085"/>
      <c r="AC940" s="2085"/>
      <c r="AD940" s="2085"/>
      <c r="AE940" s="2089"/>
    </row>
    <row r="941" spans="1:31" s="927" customFormat="1" ht="36">
      <c r="A941" s="929">
        <v>678</v>
      </c>
      <c r="B941" s="929">
        <v>9</v>
      </c>
      <c r="C941" s="929" t="s">
        <v>1833</v>
      </c>
      <c r="D941" s="929" t="s">
        <v>539</v>
      </c>
      <c r="E941" s="929" t="s">
        <v>1484</v>
      </c>
      <c r="F941" s="930">
        <v>250</v>
      </c>
      <c r="G941" s="931">
        <v>570000</v>
      </c>
      <c r="H941" s="931">
        <f t="shared" si="117"/>
        <v>142500000</v>
      </c>
      <c r="I941" s="932">
        <v>250</v>
      </c>
      <c r="J941" s="933">
        <v>700000</v>
      </c>
      <c r="K941" s="932">
        <f t="shared" si="118"/>
        <v>175000000</v>
      </c>
      <c r="L941" s="934">
        <f t="shared" si="116"/>
        <v>130000</v>
      </c>
      <c r="M941" s="934" t="s">
        <v>1834</v>
      </c>
      <c r="N941" s="934" t="s">
        <v>1835</v>
      </c>
      <c r="O941" s="934">
        <v>1</v>
      </c>
      <c r="P941" s="930" t="s">
        <v>1813</v>
      </c>
      <c r="Q941" s="2084">
        <f t="shared" si="119"/>
        <v>1</v>
      </c>
      <c r="R941" s="2332">
        <f t="shared" si="120"/>
        <v>250</v>
      </c>
      <c r="S941" s="2086"/>
      <c r="T941" s="2086"/>
      <c r="U941" s="2086"/>
      <c r="V941" s="2086"/>
      <c r="W941" s="2087"/>
      <c r="X941" s="2088"/>
      <c r="Y941" s="2089"/>
      <c r="Z941" s="2085"/>
      <c r="AA941" s="2085"/>
      <c r="AB941" s="2085"/>
      <c r="AC941" s="2085"/>
      <c r="AD941" s="2085"/>
      <c r="AE941" s="2089"/>
    </row>
    <row r="942" spans="1:31" s="927" customFormat="1" ht="36">
      <c r="A942" s="929">
        <v>679</v>
      </c>
      <c r="B942" s="929">
        <v>10</v>
      </c>
      <c r="C942" s="929" t="s">
        <v>1836</v>
      </c>
      <c r="D942" s="929" t="s">
        <v>539</v>
      </c>
      <c r="E942" s="929" t="s">
        <v>1484</v>
      </c>
      <c r="F942" s="930">
        <v>400</v>
      </c>
      <c r="G942" s="931">
        <v>275000</v>
      </c>
      <c r="H942" s="931">
        <f t="shared" si="117"/>
        <v>110000000</v>
      </c>
      <c r="I942" s="932">
        <v>400</v>
      </c>
      <c r="J942" s="933">
        <v>280000</v>
      </c>
      <c r="K942" s="932">
        <f t="shared" si="118"/>
        <v>112000000</v>
      </c>
      <c r="L942" s="934">
        <f t="shared" si="116"/>
        <v>5000</v>
      </c>
      <c r="M942" s="934" t="s">
        <v>1834</v>
      </c>
      <c r="N942" s="934" t="s">
        <v>1608</v>
      </c>
      <c r="O942" s="934">
        <v>1</v>
      </c>
      <c r="P942" s="930" t="s">
        <v>1813</v>
      </c>
      <c r="Q942" s="2084">
        <f t="shared" si="119"/>
        <v>1</v>
      </c>
      <c r="R942" s="2332">
        <f t="shared" si="120"/>
        <v>400</v>
      </c>
      <c r="S942" s="2086"/>
      <c r="T942" s="2086"/>
      <c r="U942" s="2086"/>
      <c r="V942" s="2086"/>
      <c r="W942" s="2087"/>
      <c r="X942" s="2088"/>
      <c r="Y942" s="2089"/>
      <c r="Z942" s="2085"/>
      <c r="AA942" s="2085"/>
      <c r="AB942" s="2085"/>
      <c r="AC942" s="2085"/>
      <c r="AD942" s="2085"/>
      <c r="AE942" s="2089"/>
    </row>
    <row r="943" spans="1:31" s="927" customFormat="1" ht="36">
      <c r="A943" s="929">
        <v>680</v>
      </c>
      <c r="B943" s="929">
        <v>11</v>
      </c>
      <c r="C943" s="929" t="s">
        <v>1837</v>
      </c>
      <c r="D943" s="929" t="s">
        <v>539</v>
      </c>
      <c r="E943" s="929" t="s">
        <v>1484</v>
      </c>
      <c r="F943" s="930">
        <v>400</v>
      </c>
      <c r="G943" s="931">
        <v>75000</v>
      </c>
      <c r="H943" s="931">
        <f t="shared" si="117"/>
        <v>30000000</v>
      </c>
      <c r="I943" s="932">
        <v>400</v>
      </c>
      <c r="J943" s="933">
        <v>80000</v>
      </c>
      <c r="K943" s="932">
        <f t="shared" si="118"/>
        <v>32000000</v>
      </c>
      <c r="L943" s="934">
        <f t="shared" si="116"/>
        <v>5000</v>
      </c>
      <c r="M943" s="934" t="s">
        <v>1834</v>
      </c>
      <c r="N943" s="934" t="s">
        <v>1838</v>
      </c>
      <c r="O943" s="934">
        <v>1</v>
      </c>
      <c r="P943" s="930" t="s">
        <v>1813</v>
      </c>
      <c r="Q943" s="2084">
        <f t="shared" si="119"/>
        <v>1</v>
      </c>
      <c r="R943" s="2332">
        <f t="shared" si="120"/>
        <v>400</v>
      </c>
      <c r="S943" s="2086"/>
      <c r="T943" s="2086"/>
      <c r="U943" s="2086"/>
      <c r="V943" s="2086"/>
      <c r="W943" s="2087"/>
      <c r="X943" s="2088"/>
      <c r="Y943" s="2089"/>
      <c r="Z943" s="2085"/>
      <c r="AA943" s="2085"/>
      <c r="AB943" s="2085"/>
      <c r="AC943" s="2085"/>
      <c r="AD943" s="2085"/>
      <c r="AE943" s="2089"/>
    </row>
    <row r="944" spans="1:31" s="927" customFormat="1" ht="36">
      <c r="A944" s="929">
        <v>681</v>
      </c>
      <c r="B944" s="929">
        <v>12</v>
      </c>
      <c r="C944" s="929" t="s">
        <v>1839</v>
      </c>
      <c r="D944" s="929" t="s">
        <v>539</v>
      </c>
      <c r="E944" s="929" t="s">
        <v>1484</v>
      </c>
      <c r="F944" s="930">
        <v>100</v>
      </c>
      <c r="G944" s="931">
        <v>650000</v>
      </c>
      <c r="H944" s="931">
        <f t="shared" si="117"/>
        <v>65000000</v>
      </c>
      <c r="I944" s="932">
        <v>100</v>
      </c>
      <c r="J944" s="933">
        <v>660000</v>
      </c>
      <c r="K944" s="932">
        <f t="shared" si="118"/>
        <v>66000000</v>
      </c>
      <c r="L944" s="934">
        <f t="shared" si="116"/>
        <v>10000</v>
      </c>
      <c r="M944" s="935" t="s">
        <v>1840</v>
      </c>
      <c r="N944" s="934" t="s">
        <v>1841</v>
      </c>
      <c r="O944" s="934">
        <v>1</v>
      </c>
      <c r="P944" s="930" t="s">
        <v>1813</v>
      </c>
      <c r="Q944" s="2084">
        <f t="shared" si="119"/>
        <v>1</v>
      </c>
      <c r="R944" s="2332">
        <f t="shared" si="120"/>
        <v>100</v>
      </c>
      <c r="S944" s="2086"/>
      <c r="T944" s="2086"/>
      <c r="U944" s="2086"/>
      <c r="V944" s="2086"/>
      <c r="W944" s="2087"/>
      <c r="X944" s="2088"/>
      <c r="Y944" s="2089"/>
      <c r="Z944" s="2085"/>
      <c r="AA944" s="2085"/>
      <c r="AB944" s="2085"/>
      <c r="AC944" s="2085"/>
      <c r="AD944" s="2085"/>
      <c r="AE944" s="2089"/>
    </row>
    <row r="945" spans="1:31" s="927" customFormat="1" ht="36">
      <c r="A945" s="929">
        <v>682</v>
      </c>
      <c r="B945" s="929">
        <v>13</v>
      </c>
      <c r="C945" s="929" t="s">
        <v>1842</v>
      </c>
      <c r="D945" s="929" t="s">
        <v>539</v>
      </c>
      <c r="E945" s="929" t="s">
        <v>1484</v>
      </c>
      <c r="F945" s="930">
        <v>30</v>
      </c>
      <c r="G945" s="931">
        <v>7800000</v>
      </c>
      <c r="H945" s="931">
        <f t="shared" si="117"/>
        <v>234000000</v>
      </c>
      <c r="I945" s="932">
        <v>30</v>
      </c>
      <c r="J945" s="933">
        <v>9000000</v>
      </c>
      <c r="K945" s="932">
        <f t="shared" si="118"/>
        <v>270000000</v>
      </c>
      <c r="L945" s="934">
        <f t="shared" si="116"/>
        <v>1200000</v>
      </c>
      <c r="M945" s="934" t="s">
        <v>1811</v>
      </c>
      <c r="N945" s="934" t="s">
        <v>1617</v>
      </c>
      <c r="O945" s="934">
        <v>1</v>
      </c>
      <c r="P945" s="930" t="s">
        <v>1813</v>
      </c>
      <c r="Q945" s="2084">
        <f t="shared" si="119"/>
        <v>1</v>
      </c>
      <c r="R945" s="2332">
        <f t="shared" si="120"/>
        <v>30</v>
      </c>
      <c r="S945" s="2086"/>
      <c r="T945" s="2086"/>
      <c r="U945" s="2086"/>
      <c r="V945" s="2086"/>
      <c r="W945" s="2087"/>
      <c r="X945" s="2088"/>
      <c r="Y945" s="2089"/>
      <c r="Z945" s="2085"/>
      <c r="AA945" s="2085"/>
      <c r="AB945" s="2085"/>
      <c r="AC945" s="2085"/>
      <c r="AD945" s="2085"/>
      <c r="AE945" s="2089"/>
    </row>
    <row r="946" spans="1:31" s="927" customFormat="1" ht="36">
      <c r="A946" s="936">
        <v>683</v>
      </c>
      <c r="B946" s="936">
        <v>14</v>
      </c>
      <c r="C946" s="936" t="s">
        <v>1843</v>
      </c>
      <c r="D946" s="936" t="s">
        <v>539</v>
      </c>
      <c r="E946" s="936" t="s">
        <v>1484</v>
      </c>
      <c r="F946" s="937">
        <v>100</v>
      </c>
      <c r="G946" s="938">
        <v>1800000</v>
      </c>
      <c r="H946" s="938">
        <f t="shared" si="117"/>
        <v>180000000</v>
      </c>
      <c r="I946" s="939">
        <v>100</v>
      </c>
      <c r="J946" s="940">
        <v>1900000</v>
      </c>
      <c r="K946" s="939">
        <f t="shared" si="118"/>
        <v>190000000</v>
      </c>
      <c r="L946" s="941">
        <f t="shared" si="116"/>
        <v>100000</v>
      </c>
      <c r="M946" s="941" t="s">
        <v>1834</v>
      </c>
      <c r="N946" s="941" t="s">
        <v>1844</v>
      </c>
      <c r="O946" s="941">
        <v>1</v>
      </c>
      <c r="P946" s="937" t="s">
        <v>1813</v>
      </c>
      <c r="Q946" s="2084">
        <f t="shared" si="119"/>
        <v>1</v>
      </c>
      <c r="R946" s="2332">
        <f t="shared" si="120"/>
        <v>100</v>
      </c>
      <c r="S946" s="2086"/>
      <c r="T946" s="2086"/>
      <c r="U946" s="2086"/>
      <c r="V946" s="2086"/>
      <c r="W946" s="2087"/>
      <c r="X946" s="2088"/>
      <c r="Y946" s="2089"/>
      <c r="Z946" s="2085"/>
      <c r="AA946" s="2085"/>
      <c r="AB946" s="2085"/>
      <c r="AC946" s="2085"/>
      <c r="AD946" s="2085"/>
      <c r="AE946" s="2089"/>
    </row>
    <row r="947" spans="1:31" s="927" customFormat="1" ht="12">
      <c r="A947" s="942"/>
      <c r="B947" s="942"/>
      <c r="C947" s="943" t="s">
        <v>1537</v>
      </c>
      <c r="D947" s="944"/>
      <c r="E947" s="944"/>
      <c r="F947" s="943"/>
      <c r="G947" s="943"/>
      <c r="H947" s="943">
        <f>SUM(H933:H946)</f>
        <v>2360000000</v>
      </c>
      <c r="I947" s="946"/>
      <c r="J947" s="946"/>
      <c r="K947" s="945">
        <f>SUM(K933:K946)</f>
        <v>2524500000</v>
      </c>
      <c r="L947" s="946"/>
      <c r="M947" s="943"/>
      <c r="N947" s="944"/>
      <c r="O947" s="944"/>
      <c r="P947" s="947"/>
      <c r="Q947" s="926"/>
      <c r="T947" s="928"/>
      <c r="U947" s="928"/>
      <c r="V947" s="928"/>
      <c r="W947" s="928"/>
      <c r="X947" s="928"/>
      <c r="Y947" s="928"/>
      <c r="Z947" s="928"/>
      <c r="AA947" s="928"/>
      <c r="AB947" s="928"/>
      <c r="AC947" s="928"/>
    </row>
    <row r="948" spans="1:31" s="951" customFormat="1" ht="12">
      <c r="A948" s="2153" t="s">
        <v>1845</v>
      </c>
      <c r="B948" s="2153"/>
      <c r="C948" s="2153"/>
      <c r="D948" s="2153"/>
      <c r="E948" s="2153"/>
      <c r="F948" s="2153"/>
      <c r="G948" s="2153"/>
      <c r="H948" s="2153"/>
      <c r="I948" s="2153"/>
      <c r="J948" s="2153"/>
      <c r="K948" s="2153"/>
      <c r="L948" s="2153"/>
      <c r="M948" s="948"/>
      <c r="N948" s="949"/>
      <c r="O948" s="950"/>
      <c r="P948" s="928"/>
      <c r="Q948" s="928"/>
      <c r="R948" s="927"/>
      <c r="S948" s="952"/>
      <c r="T948" s="949"/>
      <c r="U948" s="949"/>
      <c r="V948" s="949"/>
      <c r="W948" s="949"/>
      <c r="X948" s="949"/>
      <c r="Y948" s="949"/>
      <c r="Z948" s="949"/>
      <c r="AA948" s="949"/>
      <c r="AB948" s="949"/>
      <c r="AC948" s="949"/>
    </row>
    <row r="951" spans="1:31">
      <c r="A951" s="71" t="s">
        <v>1846</v>
      </c>
    </row>
    <row r="952" spans="1:31" s="12" customFormat="1" ht="15.6" customHeight="1">
      <c r="A952" s="2092" t="s">
        <v>5</v>
      </c>
      <c r="B952" s="2092" t="s">
        <v>6</v>
      </c>
      <c r="C952" s="2094" t="s">
        <v>7</v>
      </c>
      <c r="D952" s="2096" t="s">
        <v>8</v>
      </c>
      <c r="E952" s="2092" t="s">
        <v>9</v>
      </c>
      <c r="F952" s="2098" t="s">
        <v>10</v>
      </c>
      <c r="G952" s="2098"/>
      <c r="H952" s="2098"/>
      <c r="I952" s="2098" t="s">
        <v>11</v>
      </c>
      <c r="J952" s="2098"/>
      <c r="K952" s="2098"/>
      <c r="L952" s="2099" t="s">
        <v>12</v>
      </c>
      <c r="M952" s="9"/>
      <c r="N952" s="9"/>
      <c r="O952" s="9"/>
      <c r="P952" s="2101" t="s">
        <v>13</v>
      </c>
      <c r="Q952" s="2265" t="s">
        <v>4740</v>
      </c>
      <c r="R952" s="2319" t="s">
        <v>4754</v>
      </c>
      <c r="S952" s="2267" t="s">
        <v>4767</v>
      </c>
      <c r="T952" s="2268"/>
      <c r="U952" s="2268"/>
      <c r="V952" s="2268"/>
      <c r="W952" s="2269"/>
      <c r="X952" s="2267" t="s">
        <v>4768</v>
      </c>
      <c r="Y952" s="2268"/>
      <c r="Z952" s="2268"/>
      <c r="AA952" s="2268"/>
      <c r="AB952" s="2268"/>
      <c r="AC952" s="2268"/>
      <c r="AD952" s="2268"/>
      <c r="AE952" s="2269"/>
    </row>
    <row r="953" spans="1:31" s="16" customFormat="1" ht="47.45" customHeight="1">
      <c r="A953" s="2093"/>
      <c r="B953" s="2093"/>
      <c r="C953" s="2095"/>
      <c r="D953" s="2097"/>
      <c r="E953" s="2093"/>
      <c r="F953" s="13" t="s">
        <v>14</v>
      </c>
      <c r="G953" s="13" t="s">
        <v>15</v>
      </c>
      <c r="H953" s="13" t="s">
        <v>16</v>
      </c>
      <c r="I953" s="13" t="s">
        <v>14</v>
      </c>
      <c r="J953" s="13" t="s">
        <v>15</v>
      </c>
      <c r="K953" s="13" t="s">
        <v>16</v>
      </c>
      <c r="L953" s="2100"/>
      <c r="M953" s="14" t="s">
        <v>17</v>
      </c>
      <c r="N953" s="14" t="s">
        <v>18</v>
      </c>
      <c r="O953" s="14" t="s">
        <v>19</v>
      </c>
      <c r="P953" s="2102"/>
      <c r="Q953" s="2266"/>
      <c r="R953" s="2320"/>
      <c r="S953" s="2263" t="s">
        <v>4755</v>
      </c>
      <c r="T953" s="2263" t="s">
        <v>4756</v>
      </c>
      <c r="U953" s="2263" t="s">
        <v>4757</v>
      </c>
      <c r="V953" s="2263" t="s">
        <v>4758</v>
      </c>
      <c r="W953" s="2263" t="s">
        <v>4759</v>
      </c>
      <c r="X953" s="2264" t="s">
        <v>4760</v>
      </c>
      <c r="Y953" s="2264" t="s">
        <v>4761</v>
      </c>
      <c r="Z953" s="2264" t="s">
        <v>4762</v>
      </c>
      <c r="AA953" s="2264" t="s">
        <v>4763</v>
      </c>
      <c r="AB953" s="2264" t="s">
        <v>4764</v>
      </c>
      <c r="AC953" s="2264" t="s">
        <v>4765</v>
      </c>
      <c r="AD953" s="2264" t="s">
        <v>4766</v>
      </c>
      <c r="AE953" s="2264" t="s">
        <v>4755</v>
      </c>
    </row>
    <row r="954" spans="1:31" s="70" customFormat="1">
      <c r="A954" s="331">
        <v>1</v>
      </c>
      <c r="B954" s="331">
        <v>2</v>
      </c>
      <c r="C954" s="63">
        <v>3</v>
      </c>
      <c r="D954" s="331">
        <v>4</v>
      </c>
      <c r="E954" s="331">
        <v>5</v>
      </c>
      <c r="F954" s="57">
        <v>6</v>
      </c>
      <c r="G954" s="57">
        <v>7</v>
      </c>
      <c r="H954" s="331">
        <v>8</v>
      </c>
      <c r="I954" s="331">
        <v>9</v>
      </c>
      <c r="J954" s="331">
        <v>10</v>
      </c>
      <c r="K954" s="331">
        <v>11</v>
      </c>
      <c r="L954" s="331">
        <v>12</v>
      </c>
      <c r="M954" s="331">
        <v>9</v>
      </c>
      <c r="N954" s="331">
        <v>10</v>
      </c>
      <c r="O954" s="331">
        <v>11</v>
      </c>
      <c r="P954" s="21">
        <v>13</v>
      </c>
      <c r="Q954" s="22"/>
      <c r="R954" s="2321"/>
      <c r="S954" s="485"/>
    </row>
    <row r="955" spans="1:31" ht="18">
      <c r="A955" s="953">
        <v>684</v>
      </c>
      <c r="B955" s="953">
        <v>1</v>
      </c>
      <c r="C955" s="953" t="s">
        <v>1847</v>
      </c>
      <c r="D955" s="953" t="s">
        <v>1848</v>
      </c>
      <c r="E955" s="953" t="s">
        <v>47</v>
      </c>
      <c r="F955" s="953">
        <v>5</v>
      </c>
      <c r="G955" s="954">
        <v>8100000</v>
      </c>
      <c r="H955" s="954">
        <f>G955*F955</f>
        <v>40500000</v>
      </c>
      <c r="I955" s="891">
        <v>5</v>
      </c>
      <c r="J955" s="892">
        <v>8800000</v>
      </c>
      <c r="K955" s="682">
        <f t="shared" ref="K955:K979" si="121">I955*J955</f>
        <v>44000000</v>
      </c>
      <c r="L955" s="682">
        <f t="shared" ref="L955:L981" si="122">J955-G955</f>
        <v>700000</v>
      </c>
      <c r="M955" s="953" t="s">
        <v>1849</v>
      </c>
      <c r="N955" s="953" t="s">
        <v>1850</v>
      </c>
      <c r="O955" s="955">
        <v>4</v>
      </c>
      <c r="P955" s="400" t="s">
        <v>1851</v>
      </c>
      <c r="Q955" s="2084">
        <f>R955/F955</f>
        <v>1</v>
      </c>
      <c r="R955" s="2332">
        <f>+F955-(S955+T955+U955+W955+X955+Y955+Z955+AA955+AB955+AC955+AD955+AE955)</f>
        <v>5</v>
      </c>
      <c r="S955" s="2086"/>
      <c r="T955" s="2086"/>
      <c r="U955" s="2086"/>
      <c r="V955" s="2086"/>
      <c r="W955" s="2087"/>
      <c r="X955" s="2088"/>
      <c r="Y955" s="2089"/>
      <c r="Z955" s="2085"/>
      <c r="AA955" s="2085"/>
      <c r="AB955" s="2085"/>
      <c r="AC955" s="2085"/>
      <c r="AD955" s="2085"/>
      <c r="AE955" s="2089"/>
    </row>
    <row r="956" spans="1:31" ht="18">
      <c r="A956" s="956">
        <v>685</v>
      </c>
      <c r="B956" s="956">
        <v>2</v>
      </c>
      <c r="C956" s="956" t="s">
        <v>1852</v>
      </c>
      <c r="D956" s="956" t="s">
        <v>1848</v>
      </c>
      <c r="E956" s="956" t="s">
        <v>47</v>
      </c>
      <c r="F956" s="956">
        <v>10</v>
      </c>
      <c r="G956" s="957">
        <v>5600000</v>
      </c>
      <c r="H956" s="957">
        <f t="shared" ref="H956:H981" si="123">G956*F956</f>
        <v>56000000</v>
      </c>
      <c r="I956" s="896">
        <v>10</v>
      </c>
      <c r="J956" s="897">
        <v>6400000</v>
      </c>
      <c r="K956" s="692">
        <f t="shared" si="121"/>
        <v>64000000</v>
      </c>
      <c r="L956" s="692">
        <f t="shared" si="122"/>
        <v>800000</v>
      </c>
      <c r="M956" s="956" t="s">
        <v>1853</v>
      </c>
      <c r="N956" s="956" t="s">
        <v>1854</v>
      </c>
      <c r="O956" s="956">
        <v>4</v>
      </c>
      <c r="P956" s="403" t="s">
        <v>1851</v>
      </c>
      <c r="Q956" s="2084">
        <f t="shared" ref="Q956:Q981" si="124">R956/F956</f>
        <v>1</v>
      </c>
      <c r="R956" s="2332">
        <f t="shared" ref="R956:R981" si="125">+F956-(S956+T956+U956+W956+X956+Y956+Z956+AA956+AB956+AC956+AD956+AE956)</f>
        <v>10</v>
      </c>
      <c r="S956" s="2086"/>
      <c r="T956" s="2086"/>
      <c r="U956" s="2086"/>
      <c r="V956" s="2086"/>
      <c r="W956" s="2087"/>
      <c r="X956" s="2088"/>
      <c r="Y956" s="2089"/>
      <c r="Z956" s="2085"/>
      <c r="AA956" s="2085"/>
      <c r="AB956" s="2085"/>
      <c r="AC956" s="2085"/>
      <c r="AD956" s="2085"/>
      <c r="AE956" s="2089"/>
    </row>
    <row r="957" spans="1:31" ht="18">
      <c r="A957" s="956">
        <v>686</v>
      </c>
      <c r="B957" s="956">
        <v>3</v>
      </c>
      <c r="C957" s="956" t="s">
        <v>1855</v>
      </c>
      <c r="D957" s="956" t="s">
        <v>1848</v>
      </c>
      <c r="E957" s="956" t="s">
        <v>47</v>
      </c>
      <c r="F957" s="956">
        <v>10</v>
      </c>
      <c r="G957" s="957">
        <v>6100000</v>
      </c>
      <c r="H957" s="957">
        <f t="shared" si="123"/>
        <v>61000000</v>
      </c>
      <c r="I957" s="896">
        <v>10</v>
      </c>
      <c r="J957" s="897">
        <v>6800000</v>
      </c>
      <c r="K957" s="692">
        <f t="shared" si="121"/>
        <v>68000000</v>
      </c>
      <c r="L957" s="692">
        <f t="shared" si="122"/>
        <v>700000</v>
      </c>
      <c r="M957" s="956" t="s">
        <v>1853</v>
      </c>
      <c r="N957" s="956" t="s">
        <v>1856</v>
      </c>
      <c r="O957" s="958">
        <v>4</v>
      </c>
      <c r="P957" s="403" t="s">
        <v>1851</v>
      </c>
      <c r="Q957" s="2084">
        <f t="shared" si="124"/>
        <v>1</v>
      </c>
      <c r="R957" s="2332">
        <f t="shared" si="125"/>
        <v>10</v>
      </c>
      <c r="S957" s="2086"/>
      <c r="T957" s="2086"/>
      <c r="U957" s="2086"/>
      <c r="V957" s="2086"/>
      <c r="W957" s="2087"/>
      <c r="X957" s="2088"/>
      <c r="Y957" s="2089"/>
      <c r="Z957" s="2085"/>
      <c r="AA957" s="2085"/>
      <c r="AB957" s="2085"/>
      <c r="AC957" s="2085"/>
      <c r="AD957" s="2085"/>
      <c r="AE957" s="2089"/>
    </row>
    <row r="958" spans="1:31" ht="27">
      <c r="A958" s="956">
        <v>687</v>
      </c>
      <c r="B958" s="956">
        <v>4</v>
      </c>
      <c r="C958" s="956" t="s">
        <v>1857</v>
      </c>
      <c r="D958" s="956" t="s">
        <v>1848</v>
      </c>
      <c r="E958" s="956" t="s">
        <v>47</v>
      </c>
      <c r="F958" s="956">
        <v>50</v>
      </c>
      <c r="G958" s="957">
        <v>4300000</v>
      </c>
      <c r="H958" s="957">
        <f t="shared" si="123"/>
        <v>215000000</v>
      </c>
      <c r="I958" s="896">
        <v>50</v>
      </c>
      <c r="J958" s="897">
        <v>4400000</v>
      </c>
      <c r="K958" s="692">
        <f t="shared" si="121"/>
        <v>220000000</v>
      </c>
      <c r="L958" s="692">
        <f t="shared" si="122"/>
        <v>100000</v>
      </c>
      <c r="M958" s="956" t="s">
        <v>1853</v>
      </c>
      <c r="N958" s="956" t="s">
        <v>1858</v>
      </c>
      <c r="O958" s="956">
        <v>4</v>
      </c>
      <c r="P958" s="403" t="s">
        <v>1851</v>
      </c>
      <c r="Q958" s="2084">
        <f t="shared" si="124"/>
        <v>1</v>
      </c>
      <c r="R958" s="2332">
        <f t="shared" si="125"/>
        <v>50</v>
      </c>
      <c r="S958" s="2086"/>
      <c r="T958" s="2086"/>
      <c r="U958" s="2086"/>
      <c r="V958" s="2086"/>
      <c r="W958" s="2087"/>
      <c r="X958" s="2088"/>
      <c r="Y958" s="2089"/>
      <c r="Z958" s="2085"/>
      <c r="AA958" s="2085"/>
      <c r="AB958" s="2085"/>
      <c r="AC958" s="2085"/>
      <c r="AD958" s="2085"/>
      <c r="AE958" s="2089"/>
    </row>
    <row r="959" spans="1:31" ht="18">
      <c r="A959" s="956">
        <v>688</v>
      </c>
      <c r="B959" s="956">
        <v>5</v>
      </c>
      <c r="C959" s="956" t="s">
        <v>1859</v>
      </c>
      <c r="D959" s="956" t="s">
        <v>1848</v>
      </c>
      <c r="E959" s="956" t="s">
        <v>47</v>
      </c>
      <c r="F959" s="956">
        <v>60</v>
      </c>
      <c r="G959" s="957">
        <v>2100000</v>
      </c>
      <c r="H959" s="957">
        <f t="shared" si="123"/>
        <v>126000000</v>
      </c>
      <c r="I959" s="896">
        <v>60</v>
      </c>
      <c r="J959" s="897">
        <v>2900000</v>
      </c>
      <c r="K959" s="692">
        <f t="shared" si="121"/>
        <v>174000000</v>
      </c>
      <c r="L959" s="692">
        <f t="shared" si="122"/>
        <v>800000</v>
      </c>
      <c r="M959" s="956" t="s">
        <v>1860</v>
      </c>
      <c r="N959" s="956" t="s">
        <v>1861</v>
      </c>
      <c r="O959" s="958">
        <v>1</v>
      </c>
      <c r="P959" s="403" t="s">
        <v>1851</v>
      </c>
      <c r="Q959" s="2084">
        <f t="shared" si="124"/>
        <v>1</v>
      </c>
      <c r="R959" s="2332">
        <f t="shared" si="125"/>
        <v>60</v>
      </c>
      <c r="S959" s="2086"/>
      <c r="T959" s="2086"/>
      <c r="U959" s="2086"/>
      <c r="V959" s="2086"/>
      <c r="W959" s="2087"/>
      <c r="X959" s="2088"/>
      <c r="Y959" s="2089"/>
      <c r="Z959" s="2085"/>
      <c r="AA959" s="2085"/>
      <c r="AB959" s="2085"/>
      <c r="AC959" s="2085"/>
      <c r="AD959" s="2085"/>
      <c r="AE959" s="2089"/>
    </row>
    <row r="960" spans="1:31" ht="18">
      <c r="A960" s="956">
        <v>689</v>
      </c>
      <c r="B960" s="956">
        <v>6</v>
      </c>
      <c r="C960" s="956" t="s">
        <v>1862</v>
      </c>
      <c r="D960" s="956" t="s">
        <v>1848</v>
      </c>
      <c r="E960" s="956" t="s">
        <v>47</v>
      </c>
      <c r="F960" s="956">
        <v>1</v>
      </c>
      <c r="G960" s="957">
        <v>3200000</v>
      </c>
      <c r="H960" s="957">
        <f t="shared" si="123"/>
        <v>3200000</v>
      </c>
      <c r="I960" s="896">
        <v>1</v>
      </c>
      <c r="J960" s="897">
        <v>4000000</v>
      </c>
      <c r="K960" s="692">
        <f t="shared" si="121"/>
        <v>4000000</v>
      </c>
      <c r="L960" s="692">
        <f t="shared" si="122"/>
        <v>800000</v>
      </c>
      <c r="M960" s="956" t="s">
        <v>1860</v>
      </c>
      <c r="N960" s="956" t="s">
        <v>1863</v>
      </c>
      <c r="O960" s="956">
        <v>1</v>
      </c>
      <c r="P960" s="403" t="s">
        <v>1851</v>
      </c>
      <c r="Q960" s="2084">
        <f t="shared" si="124"/>
        <v>1</v>
      </c>
      <c r="R960" s="2332">
        <f t="shared" si="125"/>
        <v>1</v>
      </c>
      <c r="S960" s="2086"/>
      <c r="T960" s="2086"/>
      <c r="U960" s="2086"/>
      <c r="V960" s="2086"/>
      <c r="W960" s="2087"/>
      <c r="X960" s="2088"/>
      <c r="Y960" s="2089"/>
      <c r="Z960" s="2085"/>
      <c r="AA960" s="2085"/>
      <c r="AB960" s="2085"/>
      <c r="AC960" s="2085"/>
      <c r="AD960" s="2085"/>
      <c r="AE960" s="2089"/>
    </row>
    <row r="961" spans="1:31" ht="18">
      <c r="A961" s="956">
        <v>690</v>
      </c>
      <c r="B961" s="956">
        <v>7</v>
      </c>
      <c r="C961" s="956" t="s">
        <v>1864</v>
      </c>
      <c r="D961" s="956" t="s">
        <v>1848</v>
      </c>
      <c r="E961" s="956" t="s">
        <v>47</v>
      </c>
      <c r="F961" s="956">
        <v>40</v>
      </c>
      <c r="G961" s="957">
        <v>5250000</v>
      </c>
      <c r="H961" s="957">
        <f t="shared" si="123"/>
        <v>210000000</v>
      </c>
      <c r="I961" s="896">
        <v>40</v>
      </c>
      <c r="J961" s="897">
        <v>5630000</v>
      </c>
      <c r="K961" s="692">
        <f t="shared" si="121"/>
        <v>225200000</v>
      </c>
      <c r="L961" s="692">
        <f t="shared" si="122"/>
        <v>380000</v>
      </c>
      <c r="M961" s="956" t="s">
        <v>1860</v>
      </c>
      <c r="N961" s="956" t="s">
        <v>1865</v>
      </c>
      <c r="O961" s="956">
        <v>1</v>
      </c>
      <c r="P961" s="403" t="s">
        <v>1851</v>
      </c>
      <c r="Q961" s="2084">
        <f t="shared" si="124"/>
        <v>1</v>
      </c>
      <c r="R961" s="2332">
        <f t="shared" si="125"/>
        <v>40</v>
      </c>
      <c r="S961" s="2086"/>
      <c r="T961" s="2086"/>
      <c r="U961" s="2086"/>
      <c r="V961" s="2086"/>
      <c r="W961" s="2087"/>
      <c r="X961" s="2088"/>
      <c r="Y961" s="2089"/>
      <c r="Z961" s="2085"/>
      <c r="AA961" s="2085"/>
      <c r="AB961" s="2085"/>
      <c r="AC961" s="2085"/>
      <c r="AD961" s="2085"/>
      <c r="AE961" s="2089"/>
    </row>
    <row r="962" spans="1:31" ht="18">
      <c r="A962" s="956">
        <v>691</v>
      </c>
      <c r="B962" s="956">
        <v>8</v>
      </c>
      <c r="C962" s="956" t="s">
        <v>1866</v>
      </c>
      <c r="D962" s="956" t="s">
        <v>1848</v>
      </c>
      <c r="E962" s="956" t="s">
        <v>47</v>
      </c>
      <c r="F962" s="956">
        <v>8</v>
      </c>
      <c r="G962" s="957">
        <v>11500000</v>
      </c>
      <c r="H962" s="957">
        <f t="shared" si="123"/>
        <v>92000000</v>
      </c>
      <c r="I962" s="896">
        <v>8</v>
      </c>
      <c r="J962" s="897">
        <v>11920000</v>
      </c>
      <c r="K962" s="692">
        <f t="shared" si="121"/>
        <v>95360000</v>
      </c>
      <c r="L962" s="692">
        <f t="shared" si="122"/>
        <v>420000</v>
      </c>
      <c r="M962" s="956" t="s">
        <v>1860</v>
      </c>
      <c r="N962" s="956" t="s">
        <v>1867</v>
      </c>
      <c r="O962" s="956">
        <v>1</v>
      </c>
      <c r="P962" s="403" t="s">
        <v>1851</v>
      </c>
      <c r="Q962" s="2084">
        <f t="shared" si="124"/>
        <v>1</v>
      </c>
      <c r="R962" s="2332">
        <f t="shared" si="125"/>
        <v>8</v>
      </c>
      <c r="S962" s="2086"/>
      <c r="T962" s="2086"/>
      <c r="U962" s="2086"/>
      <c r="V962" s="2086"/>
      <c r="W962" s="2087"/>
      <c r="X962" s="2088"/>
      <c r="Y962" s="2089"/>
      <c r="Z962" s="2085"/>
      <c r="AA962" s="2085"/>
      <c r="AB962" s="2085"/>
      <c r="AC962" s="2085"/>
      <c r="AD962" s="2085"/>
      <c r="AE962" s="2089"/>
    </row>
    <row r="963" spans="1:31" ht="18">
      <c r="A963" s="956">
        <v>692</v>
      </c>
      <c r="B963" s="956">
        <v>9</v>
      </c>
      <c r="C963" s="956" t="s">
        <v>1868</v>
      </c>
      <c r="D963" s="956" t="s">
        <v>1848</v>
      </c>
      <c r="E963" s="956" t="s">
        <v>47</v>
      </c>
      <c r="F963" s="956">
        <v>10</v>
      </c>
      <c r="G963" s="957">
        <v>12400000</v>
      </c>
      <c r="H963" s="957">
        <f t="shared" si="123"/>
        <v>124000000</v>
      </c>
      <c r="I963" s="896">
        <v>10</v>
      </c>
      <c r="J963" s="897">
        <v>12990000</v>
      </c>
      <c r="K963" s="692">
        <f t="shared" si="121"/>
        <v>129900000</v>
      </c>
      <c r="L963" s="692">
        <f t="shared" si="122"/>
        <v>590000</v>
      </c>
      <c r="M963" s="956" t="s">
        <v>1860</v>
      </c>
      <c r="N963" s="956" t="s">
        <v>1869</v>
      </c>
      <c r="O963" s="956">
        <v>1</v>
      </c>
      <c r="P963" s="403" t="s">
        <v>1851</v>
      </c>
      <c r="Q963" s="2084">
        <f t="shared" si="124"/>
        <v>1</v>
      </c>
      <c r="R963" s="2332">
        <f t="shared" si="125"/>
        <v>10</v>
      </c>
      <c r="S963" s="2086"/>
      <c r="T963" s="2086"/>
      <c r="U963" s="2086"/>
      <c r="V963" s="2086"/>
      <c r="W963" s="2087"/>
      <c r="X963" s="2088"/>
      <c r="Y963" s="2089"/>
      <c r="Z963" s="2085"/>
      <c r="AA963" s="2085"/>
      <c r="AB963" s="2085"/>
      <c r="AC963" s="2085"/>
      <c r="AD963" s="2085"/>
      <c r="AE963" s="2089"/>
    </row>
    <row r="964" spans="1:31" ht="18">
      <c r="A964" s="956">
        <v>693</v>
      </c>
      <c r="B964" s="956">
        <v>10</v>
      </c>
      <c r="C964" s="956" t="s">
        <v>1870</v>
      </c>
      <c r="D964" s="956" t="s">
        <v>1871</v>
      </c>
      <c r="E964" s="956" t="s">
        <v>47</v>
      </c>
      <c r="F964" s="956">
        <v>240</v>
      </c>
      <c r="G964" s="957">
        <v>4190000</v>
      </c>
      <c r="H964" s="957">
        <f t="shared" si="123"/>
        <v>1005600000</v>
      </c>
      <c r="I964" s="896">
        <v>240</v>
      </c>
      <c r="J964" s="897">
        <v>4500000</v>
      </c>
      <c r="K964" s="692">
        <f t="shared" si="121"/>
        <v>1080000000</v>
      </c>
      <c r="L964" s="692">
        <f t="shared" si="122"/>
        <v>310000</v>
      </c>
      <c r="M964" s="956" t="s">
        <v>1860</v>
      </c>
      <c r="N964" s="958" t="s">
        <v>1872</v>
      </c>
      <c r="O964" s="956">
        <v>1</v>
      </c>
      <c r="P964" s="403" t="s">
        <v>1851</v>
      </c>
      <c r="Q964" s="2084">
        <f t="shared" si="124"/>
        <v>1</v>
      </c>
      <c r="R964" s="2332">
        <f t="shared" si="125"/>
        <v>240</v>
      </c>
      <c r="S964" s="2086"/>
      <c r="T964" s="2086"/>
      <c r="U964" s="2086"/>
      <c r="V964" s="2086"/>
      <c r="W964" s="2087"/>
      <c r="X964" s="2088"/>
      <c r="Y964" s="2089"/>
      <c r="Z964" s="2085"/>
      <c r="AA964" s="2085"/>
      <c r="AB964" s="2085"/>
      <c r="AC964" s="2085"/>
      <c r="AD964" s="2085"/>
      <c r="AE964" s="2089"/>
    </row>
    <row r="965" spans="1:31" ht="18">
      <c r="A965" s="956">
        <v>694</v>
      </c>
      <c r="B965" s="956">
        <v>11</v>
      </c>
      <c r="C965" s="956" t="s">
        <v>1873</v>
      </c>
      <c r="D965" s="956" t="s">
        <v>1848</v>
      </c>
      <c r="E965" s="956" t="s">
        <v>47</v>
      </c>
      <c r="F965" s="956">
        <v>10</v>
      </c>
      <c r="G965" s="957">
        <v>4650000</v>
      </c>
      <c r="H965" s="957">
        <f t="shared" si="123"/>
        <v>46500000</v>
      </c>
      <c r="I965" s="896">
        <v>10</v>
      </c>
      <c r="J965" s="897">
        <v>5120000</v>
      </c>
      <c r="K965" s="692">
        <f t="shared" si="121"/>
        <v>51200000</v>
      </c>
      <c r="L965" s="692">
        <f t="shared" si="122"/>
        <v>470000</v>
      </c>
      <c r="M965" s="956" t="s">
        <v>1860</v>
      </c>
      <c r="N965" s="958" t="s">
        <v>1874</v>
      </c>
      <c r="O965" s="956">
        <v>1</v>
      </c>
      <c r="P965" s="403" t="s">
        <v>1851</v>
      </c>
      <c r="Q965" s="2084">
        <f t="shared" si="124"/>
        <v>1</v>
      </c>
      <c r="R965" s="2332">
        <f t="shared" si="125"/>
        <v>10</v>
      </c>
      <c r="S965" s="2086"/>
      <c r="T965" s="2086"/>
      <c r="U965" s="2086"/>
      <c r="V965" s="2086"/>
      <c r="W965" s="2087"/>
      <c r="X965" s="2088"/>
      <c r="Y965" s="2089"/>
      <c r="Z965" s="2085"/>
      <c r="AA965" s="2085"/>
      <c r="AB965" s="2085"/>
      <c r="AC965" s="2085"/>
      <c r="AD965" s="2085"/>
      <c r="AE965" s="2089"/>
    </row>
    <row r="966" spans="1:31" s="73" customFormat="1" ht="18">
      <c r="A966" s="956">
        <v>695</v>
      </c>
      <c r="B966" s="956">
        <v>12</v>
      </c>
      <c r="C966" s="956" t="s">
        <v>1875</v>
      </c>
      <c r="D966" s="956" t="s">
        <v>1848</v>
      </c>
      <c r="E966" s="956" t="s">
        <v>47</v>
      </c>
      <c r="F966" s="956">
        <v>250</v>
      </c>
      <c r="G966" s="957">
        <v>1000000</v>
      </c>
      <c r="H966" s="957">
        <f t="shared" si="123"/>
        <v>250000000</v>
      </c>
      <c r="I966" s="896">
        <v>250</v>
      </c>
      <c r="J966" s="897">
        <v>1100000</v>
      </c>
      <c r="K966" s="692">
        <f t="shared" si="121"/>
        <v>275000000</v>
      </c>
      <c r="L966" s="692">
        <f t="shared" si="122"/>
        <v>100000</v>
      </c>
      <c r="M966" s="956" t="s">
        <v>1860</v>
      </c>
      <c r="N966" s="958" t="s">
        <v>1876</v>
      </c>
      <c r="O966" s="956">
        <v>1</v>
      </c>
      <c r="P966" s="403" t="s">
        <v>1851</v>
      </c>
      <c r="Q966" s="2084">
        <f t="shared" si="124"/>
        <v>1</v>
      </c>
      <c r="R966" s="2332">
        <f t="shared" si="125"/>
        <v>250</v>
      </c>
      <c r="S966" s="2086"/>
      <c r="T966" s="2086"/>
      <c r="U966" s="2086"/>
      <c r="V966" s="2086"/>
      <c r="W966" s="2087"/>
      <c r="X966" s="2088"/>
      <c r="Y966" s="2089"/>
      <c r="Z966" s="2085"/>
      <c r="AA966" s="2085"/>
      <c r="AB966" s="2085"/>
      <c r="AC966" s="2085"/>
      <c r="AD966" s="2085"/>
      <c r="AE966" s="2089"/>
    </row>
    <row r="967" spans="1:31" s="73" customFormat="1" ht="18">
      <c r="A967" s="956">
        <v>696</v>
      </c>
      <c r="B967" s="956">
        <v>13</v>
      </c>
      <c r="C967" s="956" t="s">
        <v>1877</v>
      </c>
      <c r="D967" s="956" t="s">
        <v>1848</v>
      </c>
      <c r="E967" s="956" t="s">
        <v>47</v>
      </c>
      <c r="F967" s="956">
        <v>50</v>
      </c>
      <c r="G967" s="957">
        <v>2650000</v>
      </c>
      <c r="H967" s="957">
        <f t="shared" si="123"/>
        <v>132500000</v>
      </c>
      <c r="I967" s="896">
        <v>50</v>
      </c>
      <c r="J967" s="897">
        <v>3100000</v>
      </c>
      <c r="K967" s="692">
        <f t="shared" si="121"/>
        <v>155000000</v>
      </c>
      <c r="L967" s="692">
        <f t="shared" si="122"/>
        <v>450000</v>
      </c>
      <c r="M967" s="956" t="s">
        <v>1860</v>
      </c>
      <c r="N967" s="956" t="s">
        <v>1878</v>
      </c>
      <c r="O967" s="956">
        <v>1</v>
      </c>
      <c r="P967" s="403" t="s">
        <v>1851</v>
      </c>
      <c r="Q967" s="2084">
        <f t="shared" si="124"/>
        <v>1</v>
      </c>
      <c r="R967" s="2332">
        <f t="shared" si="125"/>
        <v>50</v>
      </c>
      <c r="S967" s="2086"/>
      <c r="T967" s="2086"/>
      <c r="U967" s="2086"/>
      <c r="V967" s="2086"/>
      <c r="W967" s="2087"/>
      <c r="X967" s="2088"/>
      <c r="Y967" s="2089"/>
      <c r="Z967" s="2085"/>
      <c r="AA967" s="2085"/>
      <c r="AB967" s="2085"/>
      <c r="AC967" s="2085"/>
      <c r="AD967" s="2085"/>
      <c r="AE967" s="2089"/>
    </row>
    <row r="968" spans="1:31" s="73" customFormat="1" ht="18">
      <c r="A968" s="956">
        <v>697</v>
      </c>
      <c r="B968" s="956">
        <v>14</v>
      </c>
      <c r="C968" s="956" t="s">
        <v>1879</v>
      </c>
      <c r="D968" s="956" t="s">
        <v>1848</v>
      </c>
      <c r="E968" s="956" t="s">
        <v>47</v>
      </c>
      <c r="F968" s="956">
        <v>5</v>
      </c>
      <c r="G968" s="957">
        <v>3700000</v>
      </c>
      <c r="H968" s="957">
        <f t="shared" si="123"/>
        <v>18500000</v>
      </c>
      <c r="I968" s="896">
        <v>5</v>
      </c>
      <c r="J968" s="897">
        <v>4450000</v>
      </c>
      <c r="K968" s="692">
        <f t="shared" si="121"/>
        <v>22250000</v>
      </c>
      <c r="L968" s="692">
        <f t="shared" si="122"/>
        <v>750000</v>
      </c>
      <c r="M968" s="956" t="s">
        <v>1860</v>
      </c>
      <c r="N968" s="956" t="s">
        <v>1878</v>
      </c>
      <c r="O968" s="956">
        <v>1</v>
      </c>
      <c r="P968" s="403" t="s">
        <v>1851</v>
      </c>
      <c r="Q968" s="2084">
        <f t="shared" si="124"/>
        <v>1</v>
      </c>
      <c r="R968" s="2332">
        <f t="shared" si="125"/>
        <v>5</v>
      </c>
      <c r="S968" s="2086"/>
      <c r="T968" s="2086"/>
      <c r="U968" s="2086"/>
      <c r="V968" s="2086"/>
      <c r="W968" s="2087"/>
      <c r="X968" s="2088"/>
      <c r="Y968" s="2089"/>
      <c r="Z968" s="2085"/>
      <c r="AA968" s="2085"/>
      <c r="AB968" s="2085"/>
      <c r="AC968" s="2085"/>
      <c r="AD968" s="2085"/>
      <c r="AE968" s="2089"/>
    </row>
    <row r="969" spans="1:31" s="73" customFormat="1" ht="18">
      <c r="A969" s="956">
        <v>698</v>
      </c>
      <c r="B969" s="956">
        <v>15</v>
      </c>
      <c r="C969" s="956" t="s">
        <v>1880</v>
      </c>
      <c r="D969" s="956" t="s">
        <v>1848</v>
      </c>
      <c r="E969" s="956" t="s">
        <v>47</v>
      </c>
      <c r="F969" s="956">
        <v>5</v>
      </c>
      <c r="G969" s="957">
        <v>4500000</v>
      </c>
      <c r="H969" s="957">
        <f t="shared" si="123"/>
        <v>22500000</v>
      </c>
      <c r="I969" s="896">
        <v>5</v>
      </c>
      <c r="J969" s="897">
        <v>5500000</v>
      </c>
      <c r="K969" s="692">
        <f t="shared" si="121"/>
        <v>27500000</v>
      </c>
      <c r="L969" s="692">
        <f t="shared" si="122"/>
        <v>1000000</v>
      </c>
      <c r="M969" s="956" t="s">
        <v>1860</v>
      </c>
      <c r="N969" s="956" t="s">
        <v>1878</v>
      </c>
      <c r="O969" s="956">
        <v>1</v>
      </c>
      <c r="P969" s="403" t="s">
        <v>1851</v>
      </c>
      <c r="Q969" s="2084">
        <f t="shared" si="124"/>
        <v>1</v>
      </c>
      <c r="R969" s="2332">
        <f t="shared" si="125"/>
        <v>5</v>
      </c>
      <c r="S969" s="2086"/>
      <c r="T969" s="2086"/>
      <c r="U969" s="2086"/>
      <c r="V969" s="2086"/>
      <c r="W969" s="2087"/>
      <c r="X969" s="2088"/>
      <c r="Y969" s="2089"/>
      <c r="Z969" s="2085"/>
      <c r="AA969" s="2085"/>
      <c r="AB969" s="2085"/>
      <c r="AC969" s="2085"/>
      <c r="AD969" s="2085"/>
      <c r="AE969" s="2089"/>
    </row>
    <row r="970" spans="1:31" s="73" customFormat="1" ht="18">
      <c r="A970" s="956">
        <v>699</v>
      </c>
      <c r="B970" s="956">
        <v>16</v>
      </c>
      <c r="C970" s="956" t="s">
        <v>1881</v>
      </c>
      <c r="D970" s="956" t="s">
        <v>1848</v>
      </c>
      <c r="E970" s="956" t="s">
        <v>47</v>
      </c>
      <c r="F970" s="956">
        <v>5</v>
      </c>
      <c r="G970" s="957">
        <v>6100000</v>
      </c>
      <c r="H970" s="957">
        <f t="shared" si="123"/>
        <v>30500000</v>
      </c>
      <c r="I970" s="896">
        <v>5</v>
      </c>
      <c r="J970" s="897">
        <v>6800000</v>
      </c>
      <c r="K970" s="692">
        <f t="shared" si="121"/>
        <v>34000000</v>
      </c>
      <c r="L970" s="692">
        <f t="shared" si="122"/>
        <v>700000</v>
      </c>
      <c r="M970" s="956" t="s">
        <v>1860</v>
      </c>
      <c r="N970" s="956" t="s">
        <v>1878</v>
      </c>
      <c r="O970" s="956">
        <v>1</v>
      </c>
      <c r="P970" s="403" t="s">
        <v>1851</v>
      </c>
      <c r="Q970" s="2084">
        <f t="shared" si="124"/>
        <v>1</v>
      </c>
      <c r="R970" s="2332">
        <f t="shared" si="125"/>
        <v>5</v>
      </c>
      <c r="S970" s="2086"/>
      <c r="T970" s="2086"/>
      <c r="U970" s="2086"/>
      <c r="V970" s="2086"/>
      <c r="W970" s="2087"/>
      <c r="X970" s="2088"/>
      <c r="Y970" s="2089"/>
      <c r="Z970" s="2085"/>
      <c r="AA970" s="2085"/>
      <c r="AB970" s="2085"/>
      <c r="AC970" s="2085"/>
      <c r="AD970" s="2085"/>
      <c r="AE970" s="2089"/>
    </row>
    <row r="971" spans="1:31" s="73" customFormat="1" ht="18">
      <c r="A971" s="956">
        <v>700</v>
      </c>
      <c r="B971" s="956">
        <v>17</v>
      </c>
      <c r="C971" s="956" t="s">
        <v>1882</v>
      </c>
      <c r="D971" s="956" t="s">
        <v>1848</v>
      </c>
      <c r="E971" s="956" t="s">
        <v>47</v>
      </c>
      <c r="F971" s="956">
        <v>1</v>
      </c>
      <c r="G971" s="957">
        <v>11900000</v>
      </c>
      <c r="H971" s="957">
        <f t="shared" si="123"/>
        <v>11900000</v>
      </c>
      <c r="I971" s="896">
        <v>1</v>
      </c>
      <c r="J971" s="897">
        <v>12700000</v>
      </c>
      <c r="K971" s="692">
        <f t="shared" si="121"/>
        <v>12700000</v>
      </c>
      <c r="L971" s="692">
        <f t="shared" si="122"/>
        <v>800000</v>
      </c>
      <c r="M971" s="956" t="s">
        <v>1860</v>
      </c>
      <c r="N971" s="956" t="s">
        <v>1883</v>
      </c>
      <c r="O971" s="956">
        <v>1</v>
      </c>
      <c r="P971" s="403" t="s">
        <v>1851</v>
      </c>
      <c r="Q971" s="2084">
        <f t="shared" si="124"/>
        <v>1</v>
      </c>
      <c r="R971" s="2332">
        <f t="shared" si="125"/>
        <v>1</v>
      </c>
      <c r="S971" s="2086"/>
      <c r="T971" s="2086"/>
      <c r="U971" s="2086"/>
      <c r="V971" s="2086"/>
      <c r="W971" s="2087"/>
      <c r="X971" s="2088"/>
      <c r="Y971" s="2089"/>
      <c r="Z971" s="2085"/>
      <c r="AA971" s="2085"/>
      <c r="AB971" s="2085"/>
      <c r="AC971" s="2085"/>
      <c r="AD971" s="2085"/>
      <c r="AE971" s="2089"/>
    </row>
    <row r="972" spans="1:31" s="73" customFormat="1" ht="18">
      <c r="A972" s="956">
        <v>701</v>
      </c>
      <c r="B972" s="956">
        <v>18</v>
      </c>
      <c r="C972" s="956" t="s">
        <v>1884</v>
      </c>
      <c r="D972" s="956" t="s">
        <v>1848</v>
      </c>
      <c r="E972" s="956" t="s">
        <v>47</v>
      </c>
      <c r="F972" s="956">
        <v>70</v>
      </c>
      <c r="G972" s="957">
        <v>6000000</v>
      </c>
      <c r="H972" s="957">
        <f t="shared" si="123"/>
        <v>420000000</v>
      </c>
      <c r="I972" s="896">
        <v>70</v>
      </c>
      <c r="J972" s="897">
        <v>6900000</v>
      </c>
      <c r="K972" s="692">
        <f t="shared" si="121"/>
        <v>483000000</v>
      </c>
      <c r="L972" s="692">
        <f t="shared" si="122"/>
        <v>900000</v>
      </c>
      <c r="M972" s="956" t="s">
        <v>1885</v>
      </c>
      <c r="N972" s="956" t="s">
        <v>1886</v>
      </c>
      <c r="O972" s="956">
        <v>1</v>
      </c>
      <c r="P972" s="403" t="s">
        <v>1851</v>
      </c>
      <c r="Q972" s="2084">
        <f t="shared" si="124"/>
        <v>1</v>
      </c>
      <c r="R972" s="2332">
        <f t="shared" si="125"/>
        <v>70</v>
      </c>
      <c r="S972" s="2086"/>
      <c r="T972" s="2086"/>
      <c r="U972" s="2086"/>
      <c r="V972" s="2086"/>
      <c r="W972" s="2087"/>
      <c r="X972" s="2088"/>
      <c r="Y972" s="2089"/>
      <c r="Z972" s="2085"/>
      <c r="AA972" s="2085"/>
      <c r="AB972" s="2085"/>
      <c r="AC972" s="2085"/>
      <c r="AD972" s="2085"/>
      <c r="AE972" s="2089"/>
    </row>
    <row r="973" spans="1:31" s="73" customFormat="1" ht="18">
      <c r="A973" s="956">
        <v>702</v>
      </c>
      <c r="B973" s="956">
        <v>19</v>
      </c>
      <c r="C973" s="956" t="s">
        <v>1887</v>
      </c>
      <c r="D973" s="956" t="s">
        <v>1848</v>
      </c>
      <c r="E973" s="956" t="s">
        <v>47</v>
      </c>
      <c r="F973" s="956">
        <v>70</v>
      </c>
      <c r="G973" s="957">
        <v>9200000</v>
      </c>
      <c r="H973" s="957">
        <f t="shared" si="123"/>
        <v>644000000</v>
      </c>
      <c r="I973" s="896">
        <v>70</v>
      </c>
      <c r="J973" s="897">
        <v>9500000</v>
      </c>
      <c r="K973" s="692">
        <f t="shared" si="121"/>
        <v>665000000</v>
      </c>
      <c r="L973" s="692">
        <f t="shared" si="122"/>
        <v>300000</v>
      </c>
      <c r="M973" s="894" t="s">
        <v>1888</v>
      </c>
      <c r="N973" s="956" t="s">
        <v>1889</v>
      </c>
      <c r="O973" s="956">
        <v>4</v>
      </c>
      <c r="P973" s="403" t="s">
        <v>1851</v>
      </c>
      <c r="Q973" s="2084">
        <f t="shared" si="124"/>
        <v>1</v>
      </c>
      <c r="R973" s="2332">
        <f t="shared" si="125"/>
        <v>70</v>
      </c>
      <c r="S973" s="2086"/>
      <c r="T973" s="2086"/>
      <c r="U973" s="2086"/>
      <c r="V973" s="2086"/>
      <c r="W973" s="2087"/>
      <c r="X973" s="2088"/>
      <c r="Y973" s="2089"/>
      <c r="Z973" s="2085"/>
      <c r="AA973" s="2085"/>
      <c r="AB973" s="2085"/>
      <c r="AC973" s="2085"/>
      <c r="AD973" s="2085"/>
      <c r="AE973" s="2089"/>
    </row>
    <row r="974" spans="1:31" s="73" customFormat="1" ht="18">
      <c r="A974" s="956">
        <v>703</v>
      </c>
      <c r="B974" s="956">
        <v>20</v>
      </c>
      <c r="C974" s="956" t="s">
        <v>1890</v>
      </c>
      <c r="D974" s="956" t="s">
        <v>1848</v>
      </c>
      <c r="E974" s="956" t="s">
        <v>47</v>
      </c>
      <c r="F974" s="956">
        <v>80</v>
      </c>
      <c r="G974" s="957">
        <v>2600000</v>
      </c>
      <c r="H974" s="957">
        <f t="shared" si="123"/>
        <v>208000000</v>
      </c>
      <c r="I974" s="896">
        <v>80</v>
      </c>
      <c r="J974" s="897">
        <v>3000000</v>
      </c>
      <c r="K974" s="692">
        <f t="shared" si="121"/>
        <v>240000000</v>
      </c>
      <c r="L974" s="692">
        <f t="shared" si="122"/>
        <v>400000</v>
      </c>
      <c r="M974" s="956" t="s">
        <v>1891</v>
      </c>
      <c r="N974" s="894" t="s">
        <v>1892</v>
      </c>
      <c r="O974" s="956">
        <v>1</v>
      </c>
      <c r="P974" s="403" t="s">
        <v>1851</v>
      </c>
      <c r="Q974" s="2084">
        <f t="shared" si="124"/>
        <v>1</v>
      </c>
      <c r="R974" s="2332">
        <f t="shared" si="125"/>
        <v>80</v>
      </c>
      <c r="S974" s="2086"/>
      <c r="T974" s="2086"/>
      <c r="U974" s="2086"/>
      <c r="V974" s="2086"/>
      <c r="W974" s="2087"/>
      <c r="X974" s="2088"/>
      <c r="Y974" s="2089"/>
      <c r="Z974" s="2085"/>
      <c r="AA974" s="2085"/>
      <c r="AB974" s="2085"/>
      <c r="AC974" s="2085"/>
      <c r="AD974" s="2085"/>
      <c r="AE974" s="2089"/>
    </row>
    <row r="975" spans="1:31" s="73" customFormat="1" ht="18">
      <c r="A975" s="956">
        <v>704</v>
      </c>
      <c r="B975" s="956">
        <v>21</v>
      </c>
      <c r="C975" s="956" t="s">
        <v>1893</v>
      </c>
      <c r="D975" s="956" t="s">
        <v>1848</v>
      </c>
      <c r="E975" s="956" t="s">
        <v>47</v>
      </c>
      <c r="F975" s="956">
        <v>5</v>
      </c>
      <c r="G975" s="957">
        <v>850000</v>
      </c>
      <c r="H975" s="957">
        <f t="shared" si="123"/>
        <v>4250000</v>
      </c>
      <c r="I975" s="896">
        <v>5</v>
      </c>
      <c r="J975" s="897">
        <v>900000</v>
      </c>
      <c r="K975" s="692">
        <f t="shared" si="121"/>
        <v>4500000</v>
      </c>
      <c r="L975" s="692">
        <f t="shared" si="122"/>
        <v>50000</v>
      </c>
      <c r="M975" s="956" t="s">
        <v>1894</v>
      </c>
      <c r="N975" s="894" t="s">
        <v>1895</v>
      </c>
      <c r="O975" s="956">
        <v>1</v>
      </c>
      <c r="P975" s="403" t="s">
        <v>1851</v>
      </c>
      <c r="Q975" s="2084">
        <f t="shared" si="124"/>
        <v>1</v>
      </c>
      <c r="R975" s="2332">
        <f t="shared" si="125"/>
        <v>5</v>
      </c>
      <c r="S975" s="2086"/>
      <c r="T975" s="2086"/>
      <c r="U975" s="2086"/>
      <c r="V975" s="2086"/>
      <c r="W975" s="2087"/>
      <c r="X975" s="2088"/>
      <c r="Y975" s="2089"/>
      <c r="Z975" s="2085"/>
      <c r="AA975" s="2085"/>
      <c r="AB975" s="2085"/>
      <c r="AC975" s="2085"/>
      <c r="AD975" s="2085"/>
      <c r="AE975" s="2089"/>
    </row>
    <row r="976" spans="1:31" s="73" customFormat="1" ht="18">
      <c r="A976" s="956">
        <v>705</v>
      </c>
      <c r="B976" s="956">
        <v>22</v>
      </c>
      <c r="C976" s="956" t="s">
        <v>1896</v>
      </c>
      <c r="D976" s="956" t="s">
        <v>1848</v>
      </c>
      <c r="E976" s="956" t="s">
        <v>47</v>
      </c>
      <c r="F976" s="956">
        <v>5</v>
      </c>
      <c r="G976" s="957">
        <v>5500000</v>
      </c>
      <c r="H976" s="957">
        <f t="shared" si="123"/>
        <v>27500000</v>
      </c>
      <c r="I976" s="896">
        <v>5</v>
      </c>
      <c r="J976" s="897">
        <v>6400000</v>
      </c>
      <c r="K976" s="692">
        <f t="shared" si="121"/>
        <v>32000000</v>
      </c>
      <c r="L976" s="692">
        <f t="shared" si="122"/>
        <v>900000</v>
      </c>
      <c r="M976" s="956" t="s">
        <v>1885</v>
      </c>
      <c r="N976" s="956" t="s">
        <v>1897</v>
      </c>
      <c r="O976" s="956">
        <v>1</v>
      </c>
      <c r="P976" s="403" t="s">
        <v>1851</v>
      </c>
      <c r="Q976" s="2084">
        <f t="shared" si="124"/>
        <v>1</v>
      </c>
      <c r="R976" s="2332">
        <f t="shared" si="125"/>
        <v>5</v>
      </c>
      <c r="S976" s="2086"/>
      <c r="T976" s="2086"/>
      <c r="U976" s="2086"/>
      <c r="V976" s="2086"/>
      <c r="W976" s="2087"/>
      <c r="X976" s="2088"/>
      <c r="Y976" s="2089"/>
      <c r="Z976" s="2085"/>
      <c r="AA976" s="2085"/>
      <c r="AB976" s="2085"/>
      <c r="AC976" s="2085"/>
      <c r="AD976" s="2085"/>
      <c r="AE976" s="2089"/>
    </row>
    <row r="977" spans="1:31" s="73" customFormat="1" ht="18">
      <c r="A977" s="956">
        <v>706</v>
      </c>
      <c r="B977" s="956">
        <v>23</v>
      </c>
      <c r="C977" s="956" t="s">
        <v>1898</v>
      </c>
      <c r="D977" s="956" t="s">
        <v>1848</v>
      </c>
      <c r="E977" s="956" t="s">
        <v>47</v>
      </c>
      <c r="F977" s="956">
        <v>40</v>
      </c>
      <c r="G977" s="957">
        <v>5880000</v>
      </c>
      <c r="H977" s="957">
        <f t="shared" si="123"/>
        <v>235200000</v>
      </c>
      <c r="I977" s="896">
        <v>40</v>
      </c>
      <c r="J977" s="897">
        <v>6500000</v>
      </c>
      <c r="K977" s="692">
        <f>I977*J977</f>
        <v>260000000</v>
      </c>
      <c r="L977" s="692">
        <f t="shared" si="122"/>
        <v>620000</v>
      </c>
      <c r="M977" s="956" t="s">
        <v>1899</v>
      </c>
      <c r="N977" s="956" t="s">
        <v>1900</v>
      </c>
      <c r="O977" s="956">
        <v>4</v>
      </c>
      <c r="P977" s="403" t="s">
        <v>1851</v>
      </c>
      <c r="Q977" s="2084">
        <f t="shared" si="124"/>
        <v>1</v>
      </c>
      <c r="R977" s="2332">
        <f t="shared" si="125"/>
        <v>40</v>
      </c>
      <c r="S977" s="2086"/>
      <c r="T977" s="2086"/>
      <c r="U977" s="2086"/>
      <c r="V977" s="2086"/>
      <c r="W977" s="2087"/>
      <c r="X977" s="2088"/>
      <c r="Y977" s="2089"/>
      <c r="Z977" s="2085"/>
      <c r="AA977" s="2085"/>
      <c r="AB977" s="2085"/>
      <c r="AC977" s="2085"/>
      <c r="AD977" s="2085"/>
      <c r="AE977" s="2089"/>
    </row>
    <row r="978" spans="1:31" s="73" customFormat="1" ht="18">
      <c r="A978" s="956">
        <v>707</v>
      </c>
      <c r="B978" s="956">
        <v>24</v>
      </c>
      <c r="C978" s="956" t="s">
        <v>1901</v>
      </c>
      <c r="D978" s="956" t="s">
        <v>1848</v>
      </c>
      <c r="E978" s="956" t="s">
        <v>47</v>
      </c>
      <c r="F978" s="956">
        <v>70</v>
      </c>
      <c r="G978" s="957">
        <v>12500000</v>
      </c>
      <c r="H978" s="957">
        <f t="shared" si="123"/>
        <v>875000000</v>
      </c>
      <c r="I978" s="896">
        <v>70</v>
      </c>
      <c r="J978" s="897">
        <v>13000000</v>
      </c>
      <c r="K978" s="692">
        <f>I978*J978</f>
        <v>910000000</v>
      </c>
      <c r="L978" s="692">
        <f t="shared" si="122"/>
        <v>500000</v>
      </c>
      <c r="M978" s="956" t="s">
        <v>1902</v>
      </c>
      <c r="N978" s="956" t="s">
        <v>1903</v>
      </c>
      <c r="O978" s="956">
        <v>4</v>
      </c>
      <c r="P978" s="403" t="s">
        <v>1851</v>
      </c>
      <c r="Q978" s="2084">
        <f t="shared" si="124"/>
        <v>1</v>
      </c>
      <c r="R978" s="2332">
        <f t="shared" si="125"/>
        <v>70</v>
      </c>
      <c r="S978" s="2086"/>
      <c r="T978" s="2086"/>
      <c r="U978" s="2086"/>
      <c r="V978" s="2086"/>
      <c r="W978" s="2087"/>
      <c r="X978" s="2088"/>
      <c r="Y978" s="2089"/>
      <c r="Z978" s="2085"/>
      <c r="AA978" s="2085"/>
      <c r="AB978" s="2085"/>
      <c r="AC978" s="2085"/>
      <c r="AD978" s="2085"/>
      <c r="AE978" s="2089"/>
    </row>
    <row r="979" spans="1:31" s="73" customFormat="1" ht="18">
      <c r="A979" s="956">
        <v>708</v>
      </c>
      <c r="B979" s="956">
        <v>25</v>
      </c>
      <c r="C979" s="956" t="s">
        <v>1904</v>
      </c>
      <c r="D979" s="956" t="s">
        <v>1848</v>
      </c>
      <c r="E979" s="956" t="s">
        <v>47</v>
      </c>
      <c r="F979" s="956">
        <v>40</v>
      </c>
      <c r="G979" s="957">
        <v>850000</v>
      </c>
      <c r="H979" s="957">
        <f t="shared" si="123"/>
        <v>34000000</v>
      </c>
      <c r="I979" s="896">
        <v>40</v>
      </c>
      <c r="J979" s="897">
        <v>1000000</v>
      </c>
      <c r="K979" s="692">
        <f t="shared" si="121"/>
        <v>40000000</v>
      </c>
      <c r="L979" s="692">
        <f t="shared" si="122"/>
        <v>150000</v>
      </c>
      <c r="M979" s="956" t="s">
        <v>1860</v>
      </c>
      <c r="N979" s="956">
        <v>48551000</v>
      </c>
      <c r="O979" s="956">
        <v>1</v>
      </c>
      <c r="P979" s="403" t="s">
        <v>1851</v>
      </c>
      <c r="Q979" s="2084">
        <f t="shared" si="124"/>
        <v>1</v>
      </c>
      <c r="R979" s="2332">
        <f t="shared" si="125"/>
        <v>40</v>
      </c>
      <c r="S979" s="2086"/>
      <c r="T979" s="2086"/>
      <c r="U979" s="2086"/>
      <c r="V979" s="2086"/>
      <c r="W979" s="2087"/>
      <c r="X979" s="2088"/>
      <c r="Y979" s="2089"/>
      <c r="Z979" s="2085"/>
      <c r="AA979" s="2085"/>
      <c r="AB979" s="2085"/>
      <c r="AC979" s="2085"/>
      <c r="AD979" s="2085"/>
      <c r="AE979" s="2089"/>
    </row>
    <row r="980" spans="1:31" s="73" customFormat="1" ht="18">
      <c r="A980" s="956">
        <v>709</v>
      </c>
      <c r="B980" s="956">
        <v>26</v>
      </c>
      <c r="C980" s="956" t="s">
        <v>1905</v>
      </c>
      <c r="D980" s="956" t="s">
        <v>1848</v>
      </c>
      <c r="E980" s="956" t="s">
        <v>47</v>
      </c>
      <c r="F980" s="956">
        <v>4</v>
      </c>
      <c r="G980" s="957">
        <v>1700000</v>
      </c>
      <c r="H980" s="957">
        <f t="shared" si="123"/>
        <v>6800000</v>
      </c>
      <c r="I980" s="896">
        <v>4</v>
      </c>
      <c r="J980" s="897">
        <v>1900000</v>
      </c>
      <c r="K980" s="692">
        <f>I980*J980</f>
        <v>7600000</v>
      </c>
      <c r="L980" s="692">
        <f t="shared" si="122"/>
        <v>200000</v>
      </c>
      <c r="M980" s="956" t="s">
        <v>1860</v>
      </c>
      <c r="N980" s="956" t="s">
        <v>1906</v>
      </c>
      <c r="O980" s="956">
        <v>1</v>
      </c>
      <c r="P980" s="403" t="s">
        <v>1851</v>
      </c>
      <c r="Q980" s="2084">
        <f t="shared" si="124"/>
        <v>1</v>
      </c>
      <c r="R980" s="2332">
        <f t="shared" si="125"/>
        <v>4</v>
      </c>
      <c r="S980" s="2086"/>
      <c r="T980" s="2086"/>
      <c r="U980" s="2086"/>
      <c r="V980" s="2086"/>
      <c r="W980" s="2087"/>
      <c r="X980" s="2088"/>
      <c r="Y980" s="2089"/>
      <c r="Z980" s="2085"/>
      <c r="AA980" s="2085"/>
      <c r="AB980" s="2085"/>
      <c r="AC980" s="2085"/>
      <c r="AD980" s="2085"/>
      <c r="AE980" s="2089"/>
    </row>
    <row r="981" spans="1:31" s="73" customFormat="1" ht="18">
      <c r="A981" s="959">
        <v>710</v>
      </c>
      <c r="B981" s="959">
        <v>27</v>
      </c>
      <c r="C981" s="959" t="s">
        <v>1907</v>
      </c>
      <c r="D981" s="959" t="s">
        <v>1848</v>
      </c>
      <c r="E981" s="959" t="s">
        <v>47</v>
      </c>
      <c r="F981" s="959">
        <v>50</v>
      </c>
      <c r="G981" s="960">
        <v>2200000</v>
      </c>
      <c r="H981" s="960">
        <f t="shared" si="123"/>
        <v>110000000</v>
      </c>
      <c r="I981" s="906">
        <v>50</v>
      </c>
      <c r="J981" s="961">
        <v>2800000</v>
      </c>
      <c r="K981" s="711">
        <f>I981*J981</f>
        <v>140000000</v>
      </c>
      <c r="L981" s="711">
        <f t="shared" si="122"/>
        <v>600000</v>
      </c>
      <c r="M981" s="959" t="s">
        <v>1853</v>
      </c>
      <c r="N981" s="959" t="s">
        <v>1908</v>
      </c>
      <c r="O981" s="959">
        <v>1</v>
      </c>
      <c r="P981" s="420" t="s">
        <v>1851</v>
      </c>
      <c r="Q981" s="2084">
        <f t="shared" si="124"/>
        <v>1</v>
      </c>
      <c r="R981" s="2332">
        <f t="shared" si="125"/>
        <v>50</v>
      </c>
      <c r="S981" s="2086"/>
      <c r="T981" s="2086"/>
      <c r="U981" s="2086"/>
      <c r="V981" s="2086"/>
      <c r="W981" s="2087"/>
      <c r="X981" s="2088"/>
      <c r="Y981" s="2089"/>
      <c r="Z981" s="2085"/>
      <c r="AA981" s="2085"/>
      <c r="AB981" s="2085"/>
      <c r="AC981" s="2085"/>
      <c r="AD981" s="2085"/>
      <c r="AE981" s="2089"/>
    </row>
    <row r="982" spans="1:31">
      <c r="A982" s="2156" t="s">
        <v>1909</v>
      </c>
      <c r="B982" s="2156"/>
      <c r="C982" s="2156"/>
      <c r="D982" s="2156"/>
      <c r="E982" s="2156"/>
      <c r="F982" s="2156"/>
      <c r="G982" s="2156"/>
      <c r="H982" s="2307">
        <f>SUM(H955:H981)</f>
        <v>5010450000</v>
      </c>
      <c r="I982" s="593"/>
      <c r="J982" s="593"/>
      <c r="K982" s="962">
        <f>SUM(K955:K981)</f>
        <v>5464210000</v>
      </c>
      <c r="L982" s="248"/>
      <c r="M982" s="247"/>
      <c r="N982" s="247"/>
      <c r="O982" s="247"/>
      <c r="P982" s="142"/>
      <c r="Q982" s="115"/>
    </row>
    <row r="983" spans="1:31">
      <c r="A983" s="2157" t="s">
        <v>1910</v>
      </c>
      <c r="B983" s="2157"/>
      <c r="C983" s="2157"/>
      <c r="D983" s="2157"/>
      <c r="E983" s="2157"/>
      <c r="F983" s="2157"/>
      <c r="G983" s="2157"/>
      <c r="H983" s="2157"/>
      <c r="I983" s="2157"/>
      <c r="J983" s="2157"/>
      <c r="K983" s="2157"/>
    </row>
    <row r="985" spans="1:31">
      <c r="A985" s="71" t="s">
        <v>1911</v>
      </c>
    </row>
    <row r="986" spans="1:31" s="12" customFormat="1" ht="15.6" customHeight="1">
      <c r="A986" s="2092" t="s">
        <v>5</v>
      </c>
      <c r="B986" s="2092" t="s">
        <v>6</v>
      </c>
      <c r="C986" s="2094" t="s">
        <v>7</v>
      </c>
      <c r="D986" s="2096" t="s">
        <v>8</v>
      </c>
      <c r="E986" s="2092" t="s">
        <v>9</v>
      </c>
      <c r="F986" s="2098" t="s">
        <v>10</v>
      </c>
      <c r="G986" s="2098"/>
      <c r="H986" s="2098"/>
      <c r="I986" s="2098" t="s">
        <v>11</v>
      </c>
      <c r="J986" s="2098"/>
      <c r="K986" s="2098"/>
      <c r="L986" s="2099" t="s">
        <v>12</v>
      </c>
      <c r="M986" s="9"/>
      <c r="N986" s="9"/>
      <c r="O986" s="9"/>
      <c r="P986" s="2101" t="s">
        <v>13</v>
      </c>
      <c r="Q986" s="2265" t="s">
        <v>4740</v>
      </c>
      <c r="R986" s="2319" t="s">
        <v>4754</v>
      </c>
      <c r="S986" s="2267" t="s">
        <v>4767</v>
      </c>
      <c r="T986" s="2268"/>
      <c r="U986" s="2268"/>
      <c r="V986" s="2268"/>
      <c r="W986" s="2269"/>
      <c r="X986" s="2267" t="s">
        <v>4768</v>
      </c>
      <c r="Y986" s="2268"/>
      <c r="Z986" s="2268"/>
      <c r="AA986" s="2268"/>
      <c r="AB986" s="2268"/>
      <c r="AC986" s="2268"/>
      <c r="AD986" s="2268"/>
      <c r="AE986" s="2269"/>
    </row>
    <row r="987" spans="1:31" s="16" customFormat="1" ht="42.6" customHeight="1">
      <c r="A987" s="2093"/>
      <c r="B987" s="2093"/>
      <c r="C987" s="2095"/>
      <c r="D987" s="2097"/>
      <c r="E987" s="2093"/>
      <c r="F987" s="13" t="s">
        <v>14</v>
      </c>
      <c r="G987" s="13" t="s">
        <v>15</v>
      </c>
      <c r="H987" s="13" t="s">
        <v>16</v>
      </c>
      <c r="I987" s="13" t="s">
        <v>14</v>
      </c>
      <c r="J987" s="13" t="s">
        <v>15</v>
      </c>
      <c r="K987" s="13" t="s">
        <v>16</v>
      </c>
      <c r="L987" s="2100"/>
      <c r="M987" s="14" t="s">
        <v>17</v>
      </c>
      <c r="N987" s="14" t="s">
        <v>18</v>
      </c>
      <c r="O987" s="14" t="s">
        <v>19</v>
      </c>
      <c r="P987" s="2102"/>
      <c r="Q987" s="2266"/>
      <c r="R987" s="2320"/>
      <c r="S987" s="2263" t="s">
        <v>4755</v>
      </c>
      <c r="T987" s="2263" t="s">
        <v>4756</v>
      </c>
      <c r="U987" s="2263" t="s">
        <v>4757</v>
      </c>
      <c r="V987" s="2263" t="s">
        <v>4758</v>
      </c>
      <c r="W987" s="2263" t="s">
        <v>4759</v>
      </c>
      <c r="X987" s="2264" t="s">
        <v>4760</v>
      </c>
      <c r="Y987" s="2264" t="s">
        <v>4761</v>
      </c>
      <c r="Z987" s="2264" t="s">
        <v>4762</v>
      </c>
      <c r="AA987" s="2264" t="s">
        <v>4763</v>
      </c>
      <c r="AB987" s="2264" t="s">
        <v>4764</v>
      </c>
      <c r="AC987" s="2264" t="s">
        <v>4765</v>
      </c>
      <c r="AD987" s="2264" t="s">
        <v>4766</v>
      </c>
      <c r="AE987" s="2264" t="s">
        <v>4755</v>
      </c>
    </row>
    <row r="988" spans="1:31" s="70" customFormat="1">
      <c r="A988" s="331">
        <v>1</v>
      </c>
      <c r="B988" s="331">
        <v>2</v>
      </c>
      <c r="C988" s="63">
        <v>3</v>
      </c>
      <c r="D988" s="331">
        <v>4</v>
      </c>
      <c r="E988" s="331">
        <v>5</v>
      </c>
      <c r="F988" s="57">
        <v>6</v>
      </c>
      <c r="G988" s="57">
        <v>7</v>
      </c>
      <c r="H988" s="331">
        <v>8</v>
      </c>
      <c r="I988" s="331">
        <v>9</v>
      </c>
      <c r="J988" s="331">
        <v>10</v>
      </c>
      <c r="K988" s="331">
        <v>11</v>
      </c>
      <c r="L988" s="331">
        <v>12</v>
      </c>
      <c r="M988" s="331">
        <v>9</v>
      </c>
      <c r="N988" s="331">
        <v>10</v>
      </c>
      <c r="O988" s="331">
        <v>11</v>
      </c>
      <c r="P988" s="21">
        <v>13</v>
      </c>
      <c r="Q988" s="22"/>
      <c r="R988" s="2321"/>
      <c r="S988" s="485"/>
    </row>
    <row r="989" spans="1:31" ht="37.9" customHeight="1">
      <c r="A989" s="280">
        <v>711</v>
      </c>
      <c r="B989" s="280">
        <v>1</v>
      </c>
      <c r="C989" s="280" t="s">
        <v>1912</v>
      </c>
      <c r="D989" s="280" t="s">
        <v>539</v>
      </c>
      <c r="E989" s="280" t="s">
        <v>47</v>
      </c>
      <c r="F989" s="963">
        <v>100</v>
      </c>
      <c r="G989" s="964">
        <v>8000000</v>
      </c>
      <c r="H989" s="964">
        <f>F989*G989</f>
        <v>800000000</v>
      </c>
      <c r="I989" s="891">
        <v>100</v>
      </c>
      <c r="J989" s="892">
        <v>8300000</v>
      </c>
      <c r="K989" s="682">
        <f>I989*J989</f>
        <v>830000000</v>
      </c>
      <c r="L989" s="682">
        <f t="shared" ref="L989:L998" si="126">J989-G989</f>
        <v>300000</v>
      </c>
      <c r="M989" s="965" t="s">
        <v>1913</v>
      </c>
      <c r="N989" s="965" t="s">
        <v>1914</v>
      </c>
      <c r="O989" s="682" t="s">
        <v>1915</v>
      </c>
      <c r="P989" s="400" t="s">
        <v>1916</v>
      </c>
      <c r="Q989" s="2084">
        <f t="shared" ref="Q989" si="127">R989/F989</f>
        <v>1</v>
      </c>
      <c r="R989" s="2332">
        <f t="shared" ref="R989" si="128">+F989-(S989+T989+U989+W989+X989+Y989+Z989+AA989+AB989+AC989+AD989+AE989)</f>
        <v>100</v>
      </c>
      <c r="S989" s="2086"/>
      <c r="T989" s="2086"/>
      <c r="U989" s="2086"/>
      <c r="V989" s="2086"/>
      <c r="W989" s="2087"/>
      <c r="X989" s="2088"/>
      <c r="Y989" s="2089"/>
      <c r="Z989" s="2085"/>
      <c r="AA989" s="2085"/>
      <c r="AB989" s="2085"/>
      <c r="AC989" s="2085"/>
      <c r="AD989" s="2085"/>
      <c r="AE989" s="2089"/>
    </row>
    <row r="990" spans="1:31" ht="37.9" customHeight="1">
      <c r="A990" s="289">
        <v>712</v>
      </c>
      <c r="B990" s="289">
        <v>2</v>
      </c>
      <c r="C990" s="289" t="s">
        <v>1917</v>
      </c>
      <c r="D990" s="289" t="s">
        <v>539</v>
      </c>
      <c r="E990" s="289" t="s">
        <v>47</v>
      </c>
      <c r="F990" s="966">
        <v>100</v>
      </c>
      <c r="G990" s="967">
        <v>7980000</v>
      </c>
      <c r="H990" s="967">
        <f t="shared" ref="H990:H998" si="129">F990*G990</f>
        <v>798000000</v>
      </c>
      <c r="I990" s="896">
        <v>100</v>
      </c>
      <c r="J990" s="897">
        <v>8100000</v>
      </c>
      <c r="K990" s="692">
        <f t="shared" ref="K990:K998" si="130">I990*J990</f>
        <v>810000000</v>
      </c>
      <c r="L990" s="692">
        <f t="shared" si="126"/>
        <v>120000</v>
      </c>
      <c r="M990" s="968" t="s">
        <v>1913</v>
      </c>
      <c r="N990" s="968" t="s">
        <v>1918</v>
      </c>
      <c r="O990" s="692" t="s">
        <v>1915</v>
      </c>
      <c r="P990" s="403" t="s">
        <v>1916</v>
      </c>
      <c r="Q990" s="2084">
        <f t="shared" ref="Q990:Q998" si="131">R990/F990</f>
        <v>1</v>
      </c>
      <c r="R990" s="2332">
        <f t="shared" ref="R990:R998" si="132">+F990-(S990+T990+U990+W990+X990+Y990+Z990+AA990+AB990+AC990+AD990+AE990)</f>
        <v>100</v>
      </c>
      <c r="S990" s="2086"/>
      <c r="T990" s="2086"/>
      <c r="U990" s="2086"/>
      <c r="V990" s="2086"/>
      <c r="W990" s="2087"/>
      <c r="X990" s="2088"/>
      <c r="Y990" s="2089"/>
      <c r="Z990" s="2085"/>
      <c r="AA990" s="2085"/>
      <c r="AB990" s="2085"/>
      <c r="AC990" s="2085"/>
      <c r="AD990" s="2085"/>
      <c r="AE990" s="2089"/>
    </row>
    <row r="991" spans="1:31" ht="37.9" customHeight="1">
      <c r="A991" s="289">
        <v>713</v>
      </c>
      <c r="B991" s="289">
        <v>3</v>
      </c>
      <c r="C991" s="289" t="s">
        <v>1919</v>
      </c>
      <c r="D991" s="289" t="s">
        <v>539</v>
      </c>
      <c r="E991" s="289" t="s">
        <v>47</v>
      </c>
      <c r="F991" s="966">
        <v>150</v>
      </c>
      <c r="G991" s="967">
        <v>2200000</v>
      </c>
      <c r="H991" s="967">
        <f t="shared" si="129"/>
        <v>330000000</v>
      </c>
      <c r="I991" s="896">
        <v>150</v>
      </c>
      <c r="J991" s="897">
        <v>2500000</v>
      </c>
      <c r="K991" s="692">
        <f t="shared" si="130"/>
        <v>375000000</v>
      </c>
      <c r="L991" s="692">
        <f t="shared" si="126"/>
        <v>300000</v>
      </c>
      <c r="M991" s="968" t="s">
        <v>1913</v>
      </c>
      <c r="N991" s="969">
        <v>96346</v>
      </c>
      <c r="O991" s="649" t="s">
        <v>1920</v>
      </c>
      <c r="P991" s="403" t="s">
        <v>1916</v>
      </c>
      <c r="Q991" s="2084">
        <f t="shared" si="131"/>
        <v>1</v>
      </c>
      <c r="R991" s="2332">
        <f t="shared" si="132"/>
        <v>150</v>
      </c>
      <c r="S991" s="2086"/>
      <c r="T991" s="2086"/>
      <c r="U991" s="2086"/>
      <c r="V991" s="2086"/>
      <c r="W991" s="2087"/>
      <c r="X991" s="2088"/>
      <c r="Y991" s="2089"/>
      <c r="Z991" s="2085"/>
      <c r="AA991" s="2085"/>
      <c r="AB991" s="2085"/>
      <c r="AC991" s="2085"/>
      <c r="AD991" s="2085"/>
      <c r="AE991" s="2089"/>
    </row>
    <row r="992" spans="1:31" ht="37.9" customHeight="1">
      <c r="A992" s="289">
        <v>714</v>
      </c>
      <c r="B992" s="289">
        <v>4</v>
      </c>
      <c r="C992" s="289" t="s">
        <v>1921</v>
      </c>
      <c r="D992" s="289" t="s">
        <v>539</v>
      </c>
      <c r="E992" s="289" t="s">
        <v>47</v>
      </c>
      <c r="F992" s="966">
        <v>200</v>
      </c>
      <c r="G992" s="967">
        <v>2500000</v>
      </c>
      <c r="H992" s="967">
        <f t="shared" si="129"/>
        <v>500000000</v>
      </c>
      <c r="I992" s="896">
        <v>200</v>
      </c>
      <c r="J992" s="897">
        <v>2600000</v>
      </c>
      <c r="K992" s="692">
        <f t="shared" si="130"/>
        <v>520000000</v>
      </c>
      <c r="L992" s="692">
        <f t="shared" si="126"/>
        <v>100000</v>
      </c>
      <c r="M992" s="970" t="s">
        <v>1922</v>
      </c>
      <c r="N992" s="970" t="s">
        <v>1923</v>
      </c>
      <c r="O992" s="692" t="s">
        <v>1915</v>
      </c>
      <c r="P992" s="403" t="s">
        <v>1916</v>
      </c>
      <c r="Q992" s="2084">
        <f t="shared" si="131"/>
        <v>1</v>
      </c>
      <c r="R992" s="2332">
        <f t="shared" si="132"/>
        <v>200</v>
      </c>
      <c r="S992" s="2086"/>
      <c r="T992" s="2086"/>
      <c r="U992" s="2086"/>
      <c r="V992" s="2086"/>
      <c r="W992" s="2087"/>
      <c r="X992" s="2088"/>
      <c r="Y992" s="2089"/>
      <c r="Z992" s="2085"/>
      <c r="AA992" s="2085"/>
      <c r="AB992" s="2085"/>
      <c r="AC992" s="2085"/>
      <c r="AD992" s="2085"/>
      <c r="AE992" s="2089"/>
    </row>
    <row r="993" spans="1:31" ht="99">
      <c r="A993" s="289">
        <v>715</v>
      </c>
      <c r="B993" s="289">
        <v>5</v>
      </c>
      <c r="C993" s="289" t="s">
        <v>1924</v>
      </c>
      <c r="D993" s="289" t="s">
        <v>539</v>
      </c>
      <c r="E993" s="289" t="s">
        <v>47</v>
      </c>
      <c r="F993" s="966">
        <v>50</v>
      </c>
      <c r="G993" s="967">
        <v>5850000</v>
      </c>
      <c r="H993" s="967">
        <f t="shared" si="129"/>
        <v>292500000</v>
      </c>
      <c r="I993" s="896">
        <v>50</v>
      </c>
      <c r="J993" s="897">
        <v>5900000</v>
      </c>
      <c r="K993" s="692">
        <f t="shared" si="130"/>
        <v>295000000</v>
      </c>
      <c r="L993" s="692">
        <f t="shared" si="126"/>
        <v>50000</v>
      </c>
      <c r="M993" s="970" t="s">
        <v>1922</v>
      </c>
      <c r="N993" s="970" t="s">
        <v>1925</v>
      </c>
      <c r="O993" s="692" t="s">
        <v>1920</v>
      </c>
      <c r="P993" s="403" t="s">
        <v>1916</v>
      </c>
      <c r="Q993" s="2084">
        <f t="shared" si="131"/>
        <v>1</v>
      </c>
      <c r="R993" s="2332">
        <f t="shared" si="132"/>
        <v>50</v>
      </c>
      <c r="S993" s="2086"/>
      <c r="T993" s="2086"/>
      <c r="U993" s="2086"/>
      <c r="V993" s="2086"/>
      <c r="W993" s="2087"/>
      <c r="X993" s="2088"/>
      <c r="Y993" s="2089"/>
      <c r="Z993" s="2085"/>
      <c r="AA993" s="2085"/>
      <c r="AB993" s="2085"/>
      <c r="AC993" s="2085"/>
      <c r="AD993" s="2085"/>
      <c r="AE993" s="2089"/>
    </row>
    <row r="994" spans="1:31" ht="27">
      <c r="A994" s="289">
        <v>716</v>
      </c>
      <c r="B994" s="289">
        <v>6</v>
      </c>
      <c r="C994" s="289" t="s">
        <v>1926</v>
      </c>
      <c r="D994" s="289" t="s">
        <v>539</v>
      </c>
      <c r="E994" s="289" t="s">
        <v>47</v>
      </c>
      <c r="F994" s="966">
        <v>300</v>
      </c>
      <c r="G994" s="967">
        <v>2500000</v>
      </c>
      <c r="H994" s="967">
        <f t="shared" si="129"/>
        <v>750000000</v>
      </c>
      <c r="I994" s="896">
        <v>300</v>
      </c>
      <c r="J994" s="897">
        <v>2600000</v>
      </c>
      <c r="K994" s="692">
        <f t="shared" si="130"/>
        <v>780000000</v>
      </c>
      <c r="L994" s="692">
        <f t="shared" si="126"/>
        <v>100000</v>
      </c>
      <c r="M994" s="970" t="s">
        <v>1922</v>
      </c>
      <c r="N994" s="970" t="s">
        <v>1927</v>
      </c>
      <c r="O994" s="692" t="s">
        <v>1920</v>
      </c>
      <c r="P994" s="403" t="s">
        <v>1916</v>
      </c>
      <c r="Q994" s="2084">
        <f t="shared" si="131"/>
        <v>1</v>
      </c>
      <c r="R994" s="2332">
        <f t="shared" si="132"/>
        <v>300</v>
      </c>
      <c r="S994" s="2086"/>
      <c r="T994" s="2086"/>
      <c r="U994" s="2086"/>
      <c r="V994" s="2086"/>
      <c r="W994" s="2087"/>
      <c r="X994" s="2088"/>
      <c r="Y994" s="2089"/>
      <c r="Z994" s="2085"/>
      <c r="AA994" s="2085"/>
      <c r="AB994" s="2085"/>
      <c r="AC994" s="2085"/>
      <c r="AD994" s="2085"/>
      <c r="AE994" s="2089"/>
    </row>
    <row r="995" spans="1:31" ht="27">
      <c r="A995" s="289">
        <v>717</v>
      </c>
      <c r="B995" s="289">
        <v>7</v>
      </c>
      <c r="C995" s="289" t="s">
        <v>1928</v>
      </c>
      <c r="D995" s="289" t="s">
        <v>539</v>
      </c>
      <c r="E995" s="289" t="s">
        <v>47</v>
      </c>
      <c r="F995" s="966">
        <v>30</v>
      </c>
      <c r="G995" s="967">
        <v>6000000</v>
      </c>
      <c r="H995" s="967">
        <f t="shared" si="129"/>
        <v>180000000</v>
      </c>
      <c r="I995" s="896">
        <v>30</v>
      </c>
      <c r="J995" s="897">
        <v>6500000</v>
      </c>
      <c r="K995" s="692">
        <f t="shared" si="130"/>
        <v>195000000</v>
      </c>
      <c r="L995" s="692">
        <f t="shared" si="126"/>
        <v>500000</v>
      </c>
      <c r="M995" s="970" t="s">
        <v>1922</v>
      </c>
      <c r="N995" s="970" t="s">
        <v>1929</v>
      </c>
      <c r="O995" s="692" t="s">
        <v>1920</v>
      </c>
      <c r="P995" s="403" t="s">
        <v>1916</v>
      </c>
      <c r="Q995" s="2084">
        <f t="shared" si="131"/>
        <v>1</v>
      </c>
      <c r="R995" s="2332">
        <f t="shared" si="132"/>
        <v>30</v>
      </c>
      <c r="S995" s="2086"/>
      <c r="T995" s="2086"/>
      <c r="U995" s="2086"/>
      <c r="V995" s="2086"/>
      <c r="W995" s="2087"/>
      <c r="X995" s="2088"/>
      <c r="Y995" s="2089"/>
      <c r="Z995" s="2085"/>
      <c r="AA995" s="2085"/>
      <c r="AB995" s="2085"/>
      <c r="AC995" s="2085"/>
      <c r="AD995" s="2085"/>
      <c r="AE995" s="2089"/>
    </row>
    <row r="996" spans="1:31" ht="27">
      <c r="A996" s="289">
        <v>718</v>
      </c>
      <c r="B996" s="289">
        <v>8</v>
      </c>
      <c r="C996" s="289" t="s">
        <v>1930</v>
      </c>
      <c r="D996" s="289" t="s">
        <v>539</v>
      </c>
      <c r="E996" s="289" t="s">
        <v>47</v>
      </c>
      <c r="F996" s="966">
        <v>30</v>
      </c>
      <c r="G996" s="967">
        <v>6250000</v>
      </c>
      <c r="H996" s="967">
        <f t="shared" si="129"/>
        <v>187500000</v>
      </c>
      <c r="I996" s="896">
        <v>30</v>
      </c>
      <c r="J996" s="897">
        <v>6500000</v>
      </c>
      <c r="K996" s="692">
        <f t="shared" si="130"/>
        <v>195000000</v>
      </c>
      <c r="L996" s="692">
        <f t="shared" si="126"/>
        <v>250000</v>
      </c>
      <c r="M996" s="970" t="s">
        <v>1922</v>
      </c>
      <c r="N996" s="970" t="s">
        <v>1931</v>
      </c>
      <c r="O996" s="692" t="s">
        <v>1920</v>
      </c>
      <c r="P996" s="403" t="s">
        <v>1916</v>
      </c>
      <c r="Q996" s="2084">
        <f t="shared" si="131"/>
        <v>1</v>
      </c>
      <c r="R996" s="2332">
        <f t="shared" si="132"/>
        <v>30</v>
      </c>
      <c r="S996" s="2086"/>
      <c r="T996" s="2086"/>
      <c r="U996" s="2086"/>
      <c r="V996" s="2086"/>
      <c r="W996" s="2087"/>
      <c r="X996" s="2088"/>
      <c r="Y996" s="2089"/>
      <c r="Z996" s="2085"/>
      <c r="AA996" s="2085"/>
      <c r="AB996" s="2085"/>
      <c r="AC996" s="2085"/>
      <c r="AD996" s="2085"/>
      <c r="AE996" s="2089"/>
    </row>
    <row r="997" spans="1:31" ht="45">
      <c r="A997" s="289">
        <v>719</v>
      </c>
      <c r="B997" s="289">
        <v>9</v>
      </c>
      <c r="C997" s="289" t="s">
        <v>1932</v>
      </c>
      <c r="D997" s="289" t="s">
        <v>539</v>
      </c>
      <c r="E997" s="289" t="s">
        <v>47</v>
      </c>
      <c r="F997" s="966">
        <v>50</v>
      </c>
      <c r="G997" s="967">
        <v>8650000</v>
      </c>
      <c r="H997" s="967">
        <f t="shared" si="129"/>
        <v>432500000</v>
      </c>
      <c r="I997" s="896">
        <v>50</v>
      </c>
      <c r="J997" s="897">
        <v>8700000</v>
      </c>
      <c r="K997" s="692">
        <f t="shared" si="130"/>
        <v>435000000</v>
      </c>
      <c r="L997" s="692">
        <f t="shared" si="126"/>
        <v>50000</v>
      </c>
      <c r="M997" s="970" t="s">
        <v>1922</v>
      </c>
      <c r="N997" s="970" t="s">
        <v>1933</v>
      </c>
      <c r="O997" s="692" t="s">
        <v>1920</v>
      </c>
      <c r="P997" s="403" t="s">
        <v>1916</v>
      </c>
      <c r="Q997" s="2084">
        <f t="shared" si="131"/>
        <v>1</v>
      </c>
      <c r="R997" s="2332">
        <f t="shared" si="132"/>
        <v>50</v>
      </c>
      <c r="S997" s="2086"/>
      <c r="T997" s="2086"/>
      <c r="U997" s="2086"/>
      <c r="V997" s="2086"/>
      <c r="W997" s="2087"/>
      <c r="X997" s="2088"/>
      <c r="Y997" s="2089"/>
      <c r="Z997" s="2085"/>
      <c r="AA997" s="2085"/>
      <c r="AB997" s="2085"/>
      <c r="AC997" s="2085"/>
      <c r="AD997" s="2085"/>
      <c r="AE997" s="2089"/>
    </row>
    <row r="998" spans="1:31" ht="36">
      <c r="A998" s="326">
        <v>720</v>
      </c>
      <c r="B998" s="326">
        <v>10</v>
      </c>
      <c r="C998" s="326" t="s">
        <v>1934</v>
      </c>
      <c r="D998" s="326" t="s">
        <v>539</v>
      </c>
      <c r="E998" s="326" t="s">
        <v>47</v>
      </c>
      <c r="F998" s="971">
        <v>30</v>
      </c>
      <c r="G998" s="972">
        <v>9650000</v>
      </c>
      <c r="H998" s="972">
        <f t="shared" si="129"/>
        <v>289500000</v>
      </c>
      <c r="I998" s="906">
        <v>30</v>
      </c>
      <c r="J998" s="961">
        <v>9700000</v>
      </c>
      <c r="K998" s="711">
        <f t="shared" si="130"/>
        <v>291000000</v>
      </c>
      <c r="L998" s="711">
        <f t="shared" si="126"/>
        <v>50000</v>
      </c>
      <c r="M998" s="973" t="s">
        <v>1922</v>
      </c>
      <c r="N998" s="973" t="s">
        <v>1935</v>
      </c>
      <c r="O998" s="711" t="s">
        <v>1920</v>
      </c>
      <c r="P998" s="420" t="s">
        <v>1916</v>
      </c>
      <c r="Q998" s="2084">
        <f t="shared" si="131"/>
        <v>1</v>
      </c>
      <c r="R998" s="2332">
        <f t="shared" si="132"/>
        <v>30</v>
      </c>
      <c r="S998" s="2086"/>
      <c r="T998" s="2086"/>
      <c r="U998" s="2086"/>
      <c r="V998" s="2086"/>
      <c r="W998" s="2087"/>
      <c r="X998" s="2088"/>
      <c r="Y998" s="2089"/>
      <c r="Z998" s="2085"/>
      <c r="AA998" s="2085"/>
      <c r="AB998" s="2085"/>
      <c r="AC998" s="2085"/>
      <c r="AD998" s="2085"/>
      <c r="AE998" s="2089"/>
    </row>
    <row r="999" spans="1:31">
      <c r="A999" s="2093" t="s">
        <v>1395</v>
      </c>
      <c r="B999" s="2093"/>
      <c r="C999" s="2093"/>
      <c r="D999" s="2093"/>
      <c r="E999" s="2093"/>
      <c r="F999" s="2093"/>
      <c r="G999" s="2093"/>
      <c r="H999" s="2299">
        <f>SUM(H989:H998)</f>
        <v>4560000000</v>
      </c>
      <c r="I999" s="104"/>
      <c r="J999" s="104"/>
      <c r="K999" s="104">
        <f>SUM(K989:K998)</f>
        <v>4726000000</v>
      </c>
      <c r="L999" s="248"/>
      <c r="M999" s="247"/>
      <c r="N999" s="247"/>
      <c r="O999" s="247"/>
      <c r="P999" s="142"/>
      <c r="Q999" s="115"/>
    </row>
    <row r="1000" spans="1:31">
      <c r="A1000" s="2154" t="s">
        <v>1936</v>
      </c>
      <c r="B1000" s="2154"/>
      <c r="C1000" s="2154"/>
      <c r="D1000" s="2154"/>
      <c r="E1000" s="2154"/>
      <c r="F1000" s="2154"/>
      <c r="G1000" s="2154"/>
      <c r="H1000" s="2155"/>
      <c r="I1000" s="2155"/>
      <c r="J1000" s="2155"/>
      <c r="K1000" s="2155"/>
    </row>
    <row r="1002" spans="1:31">
      <c r="A1002" s="71" t="s">
        <v>1937</v>
      </c>
    </row>
    <row r="1003" spans="1:31" s="12" customFormat="1">
      <c r="A1003" s="2092" t="s">
        <v>5</v>
      </c>
      <c r="B1003" s="2092" t="s">
        <v>6</v>
      </c>
      <c r="C1003" s="2094" t="s">
        <v>7</v>
      </c>
      <c r="D1003" s="2096" t="s">
        <v>8</v>
      </c>
      <c r="E1003" s="2092" t="s">
        <v>9</v>
      </c>
      <c r="F1003" s="2098" t="s">
        <v>10</v>
      </c>
      <c r="G1003" s="2098"/>
      <c r="H1003" s="2098"/>
      <c r="I1003" s="2098" t="s">
        <v>11</v>
      </c>
      <c r="J1003" s="2098"/>
      <c r="K1003" s="2098"/>
      <c r="L1003" s="2099" t="s">
        <v>12</v>
      </c>
      <c r="M1003" s="9"/>
      <c r="N1003" s="9"/>
      <c r="O1003" s="9"/>
      <c r="P1003" s="2101" t="s">
        <v>13</v>
      </c>
      <c r="Q1003" s="2265" t="s">
        <v>4740</v>
      </c>
      <c r="R1003" s="2319" t="s">
        <v>4754</v>
      </c>
      <c r="S1003" s="2267" t="s">
        <v>4767</v>
      </c>
      <c r="T1003" s="2268"/>
      <c r="U1003" s="2268"/>
      <c r="V1003" s="2268"/>
      <c r="W1003" s="2269"/>
      <c r="X1003" s="2267" t="s">
        <v>4768</v>
      </c>
      <c r="Y1003" s="2268"/>
      <c r="Z1003" s="2268"/>
      <c r="AA1003" s="2268"/>
      <c r="AB1003" s="2268"/>
      <c r="AC1003" s="2268"/>
      <c r="AD1003" s="2268"/>
      <c r="AE1003" s="2269"/>
    </row>
    <row r="1004" spans="1:31" s="16" customFormat="1" ht="27">
      <c r="A1004" s="2093"/>
      <c r="B1004" s="2093"/>
      <c r="C1004" s="2095"/>
      <c r="D1004" s="2097"/>
      <c r="E1004" s="2093"/>
      <c r="F1004" s="13" t="s">
        <v>14</v>
      </c>
      <c r="G1004" s="13" t="s">
        <v>15</v>
      </c>
      <c r="H1004" s="13" t="s">
        <v>16</v>
      </c>
      <c r="I1004" s="13" t="s">
        <v>14</v>
      </c>
      <c r="J1004" s="13" t="s">
        <v>15</v>
      </c>
      <c r="K1004" s="13" t="s">
        <v>16</v>
      </c>
      <c r="L1004" s="2100"/>
      <c r="M1004" s="14" t="s">
        <v>17</v>
      </c>
      <c r="N1004" s="14" t="s">
        <v>18</v>
      </c>
      <c r="O1004" s="14" t="s">
        <v>19</v>
      </c>
      <c r="P1004" s="2102"/>
      <c r="Q1004" s="2266"/>
      <c r="R1004" s="2320"/>
      <c r="S1004" s="2263" t="s">
        <v>4755</v>
      </c>
      <c r="T1004" s="2263" t="s">
        <v>4756</v>
      </c>
      <c r="U1004" s="2263" t="s">
        <v>4757</v>
      </c>
      <c r="V1004" s="2263" t="s">
        <v>4758</v>
      </c>
      <c r="W1004" s="2263" t="s">
        <v>4759</v>
      </c>
      <c r="X1004" s="2264" t="s">
        <v>4760</v>
      </c>
      <c r="Y1004" s="2264" t="s">
        <v>4761</v>
      </c>
      <c r="Z1004" s="2264" t="s">
        <v>4762</v>
      </c>
      <c r="AA1004" s="2264" t="s">
        <v>4763</v>
      </c>
      <c r="AB1004" s="2264" t="s">
        <v>4764</v>
      </c>
      <c r="AC1004" s="2264" t="s">
        <v>4765</v>
      </c>
      <c r="AD1004" s="2264" t="s">
        <v>4766</v>
      </c>
      <c r="AE1004" s="2264" t="s">
        <v>4755</v>
      </c>
    </row>
    <row r="1005" spans="1:31" s="70" customFormat="1">
      <c r="A1005" s="331">
        <v>1</v>
      </c>
      <c r="B1005" s="331">
        <v>2</v>
      </c>
      <c r="C1005" s="63">
        <v>3</v>
      </c>
      <c r="D1005" s="331">
        <v>4</v>
      </c>
      <c r="E1005" s="331">
        <v>5</v>
      </c>
      <c r="F1005" s="57">
        <v>6</v>
      </c>
      <c r="G1005" s="57">
        <v>7</v>
      </c>
      <c r="H1005" s="331">
        <v>8</v>
      </c>
      <c r="I1005" s="331">
        <v>9</v>
      </c>
      <c r="J1005" s="331">
        <v>10</v>
      </c>
      <c r="K1005" s="331">
        <v>11</v>
      </c>
      <c r="L1005" s="331">
        <v>12</v>
      </c>
      <c r="M1005" s="331">
        <v>9</v>
      </c>
      <c r="N1005" s="331">
        <v>10</v>
      </c>
      <c r="O1005" s="331">
        <v>11</v>
      </c>
      <c r="P1005" s="21">
        <v>13</v>
      </c>
      <c r="Q1005" s="22"/>
      <c r="R1005" s="2321"/>
      <c r="S1005" s="485"/>
    </row>
    <row r="1006" spans="1:31" ht="18">
      <c r="A1006" s="400">
        <v>721</v>
      </c>
      <c r="B1006" s="400">
        <v>1</v>
      </c>
      <c r="C1006" s="400" t="s">
        <v>1938</v>
      </c>
      <c r="D1006" s="400" t="s">
        <v>1542</v>
      </c>
      <c r="E1006" s="400" t="s">
        <v>47</v>
      </c>
      <c r="F1006" s="400">
        <v>40</v>
      </c>
      <c r="G1006" s="974">
        <v>7400000</v>
      </c>
      <c r="H1006" s="974">
        <f>F1006*G1006</f>
        <v>296000000</v>
      </c>
      <c r="I1006" s="891">
        <v>40</v>
      </c>
      <c r="J1006" s="892">
        <v>7500000</v>
      </c>
      <c r="K1006" s="682">
        <f>I1006*J1006</f>
        <v>300000000</v>
      </c>
      <c r="L1006" s="682">
        <f>J1006-G1006</f>
        <v>100000</v>
      </c>
      <c r="M1006" s="400" t="s">
        <v>1939</v>
      </c>
      <c r="N1006" s="400" t="s">
        <v>1940</v>
      </c>
      <c r="O1006" s="400">
        <v>6</v>
      </c>
      <c r="P1006" s="400" t="s">
        <v>93</v>
      </c>
      <c r="Q1006" s="2084">
        <f t="shared" ref="Q1006" si="133">R1006/F1006</f>
        <v>1</v>
      </c>
      <c r="R1006" s="2332">
        <f t="shared" ref="R1006" si="134">+F1006-(S1006+T1006+U1006+W1006+X1006+Y1006+Z1006+AA1006+AB1006+AC1006+AD1006+AE1006)</f>
        <v>40</v>
      </c>
      <c r="S1006" s="2086"/>
      <c r="T1006" s="2086"/>
      <c r="U1006" s="2086"/>
      <c r="V1006" s="2086"/>
      <c r="W1006" s="2087"/>
      <c r="X1006" s="2088"/>
      <c r="Y1006" s="2089"/>
      <c r="Z1006" s="2085"/>
      <c r="AA1006" s="2085"/>
      <c r="AB1006" s="2085"/>
      <c r="AC1006" s="2085"/>
      <c r="AD1006" s="2085"/>
      <c r="AE1006" s="2089"/>
    </row>
    <row r="1007" spans="1:31" ht="18">
      <c r="A1007" s="786">
        <v>722</v>
      </c>
      <c r="B1007" s="786">
        <v>2</v>
      </c>
      <c r="C1007" s="786" t="s">
        <v>1941</v>
      </c>
      <c r="D1007" s="786" t="s">
        <v>1542</v>
      </c>
      <c r="E1007" s="786" t="s">
        <v>47</v>
      </c>
      <c r="F1007" s="786">
        <v>20</v>
      </c>
      <c r="G1007" s="975">
        <v>7550000</v>
      </c>
      <c r="H1007" s="975">
        <f>F1007*G1007</f>
        <v>151000000</v>
      </c>
      <c r="I1007" s="976">
        <v>20</v>
      </c>
      <c r="J1007" s="977">
        <v>7600000</v>
      </c>
      <c r="K1007" s="738">
        <f>I1007*J1007</f>
        <v>152000000</v>
      </c>
      <c r="L1007" s="738">
        <f>J1007-G1007</f>
        <v>50000</v>
      </c>
      <c r="M1007" s="786" t="s">
        <v>1939</v>
      </c>
      <c r="N1007" s="786" t="s">
        <v>1942</v>
      </c>
      <c r="O1007" s="786">
        <v>6</v>
      </c>
      <c r="P1007" s="786" t="s">
        <v>93</v>
      </c>
      <c r="Q1007" s="2084">
        <f t="shared" ref="Q1007" si="135">R1007/F1007</f>
        <v>1</v>
      </c>
      <c r="R1007" s="2332">
        <f t="shared" ref="R1007" si="136">+F1007-(S1007+T1007+U1007+W1007+X1007+Y1007+Z1007+AA1007+AB1007+AC1007+AD1007+AE1007)</f>
        <v>20</v>
      </c>
      <c r="S1007" s="2086"/>
      <c r="T1007" s="2086"/>
      <c r="U1007" s="2086"/>
      <c r="V1007" s="2086"/>
      <c r="W1007" s="2087"/>
      <c r="X1007" s="2088"/>
      <c r="Y1007" s="2089"/>
      <c r="Z1007" s="2085"/>
      <c r="AA1007" s="2085"/>
      <c r="AB1007" s="2085"/>
      <c r="AC1007" s="2085"/>
      <c r="AD1007" s="2085"/>
      <c r="AE1007" s="2089"/>
    </row>
    <row r="1008" spans="1:31">
      <c r="A1008" s="142"/>
      <c r="B1008" s="142"/>
      <c r="C1008" s="142" t="s">
        <v>1943</v>
      </c>
      <c r="D1008" s="142"/>
      <c r="E1008" s="142"/>
      <c r="F1008" s="142"/>
      <c r="G1008" s="743"/>
      <c r="H1008" s="1110">
        <f>SUM(H1006:H1007)</f>
        <v>447000000</v>
      </c>
      <c r="I1008" s="743"/>
      <c r="J1008" s="743"/>
      <c r="K1008" s="743">
        <f>SUM(K1006:K1007)</f>
        <v>452000000</v>
      </c>
      <c r="L1008" s="743"/>
      <c r="M1008" s="142"/>
      <c r="N1008" s="142"/>
      <c r="O1008" s="142"/>
      <c r="P1008" s="142"/>
      <c r="Q1008" s="115"/>
    </row>
    <row r="1009" spans="1:31">
      <c r="A1009" s="145"/>
      <c r="B1009" s="145"/>
      <c r="C1009" s="144" t="s">
        <v>1944</v>
      </c>
      <c r="D1009" s="145"/>
      <c r="E1009" s="145"/>
      <c r="F1009" s="145"/>
      <c r="G1009" s="145"/>
      <c r="H1009" s="145"/>
      <c r="I1009" s="145"/>
      <c r="J1009" s="145"/>
      <c r="K1009" s="145"/>
    </row>
    <row r="1010" spans="1:31">
      <c r="A1010" s="145"/>
      <c r="B1010" s="145"/>
      <c r="C1010" s="144"/>
      <c r="D1010" s="145"/>
      <c r="E1010" s="145"/>
      <c r="F1010" s="145"/>
      <c r="G1010" s="145"/>
      <c r="H1010" s="145"/>
      <c r="I1010" s="145"/>
      <c r="J1010" s="145"/>
      <c r="K1010" s="145"/>
    </row>
    <row r="1011" spans="1:31">
      <c r="A1011" s="145"/>
      <c r="B1011" s="145"/>
      <c r="C1011" s="144"/>
      <c r="D1011" s="145"/>
      <c r="E1011" s="145"/>
      <c r="F1011" s="145"/>
      <c r="G1011" s="145"/>
      <c r="H1011" s="145"/>
      <c r="I1011" s="145"/>
      <c r="J1011" s="145"/>
      <c r="K1011" s="145"/>
    </row>
    <row r="1013" spans="1:31">
      <c r="A1013" s="71" t="s">
        <v>1945</v>
      </c>
    </row>
    <row r="1014" spans="1:31" s="12" customFormat="1">
      <c r="A1014" s="2092" t="s">
        <v>5</v>
      </c>
      <c r="B1014" s="2092" t="s">
        <v>6</v>
      </c>
      <c r="C1014" s="2094" t="s">
        <v>7</v>
      </c>
      <c r="D1014" s="2096" t="s">
        <v>8</v>
      </c>
      <c r="E1014" s="2092" t="s">
        <v>9</v>
      </c>
      <c r="F1014" s="2098" t="s">
        <v>10</v>
      </c>
      <c r="G1014" s="2098"/>
      <c r="H1014" s="2098"/>
      <c r="I1014" s="2098" t="s">
        <v>11</v>
      </c>
      <c r="J1014" s="2098"/>
      <c r="K1014" s="2098"/>
      <c r="L1014" s="2099" t="s">
        <v>12</v>
      </c>
      <c r="M1014" s="9"/>
      <c r="N1014" s="9"/>
      <c r="O1014" s="9"/>
      <c r="P1014" s="2101" t="s">
        <v>13</v>
      </c>
      <c r="Q1014" s="2265" t="s">
        <v>4740</v>
      </c>
      <c r="R1014" s="2319" t="s">
        <v>4754</v>
      </c>
      <c r="S1014" s="2267" t="s">
        <v>4767</v>
      </c>
      <c r="T1014" s="2268"/>
      <c r="U1014" s="2268"/>
      <c r="V1014" s="2268"/>
      <c r="W1014" s="2269"/>
      <c r="X1014" s="2267" t="s">
        <v>4768</v>
      </c>
      <c r="Y1014" s="2268"/>
      <c r="Z1014" s="2268"/>
      <c r="AA1014" s="2268"/>
      <c r="AB1014" s="2268"/>
      <c r="AC1014" s="2268"/>
      <c r="AD1014" s="2268"/>
      <c r="AE1014" s="2269"/>
    </row>
    <row r="1015" spans="1:31" s="16" customFormat="1" ht="27">
      <c r="A1015" s="2093"/>
      <c r="B1015" s="2093"/>
      <c r="C1015" s="2095"/>
      <c r="D1015" s="2097"/>
      <c r="E1015" s="2093"/>
      <c r="F1015" s="13" t="s">
        <v>14</v>
      </c>
      <c r="G1015" s="13" t="s">
        <v>15</v>
      </c>
      <c r="H1015" s="13" t="s">
        <v>16</v>
      </c>
      <c r="I1015" s="13" t="s">
        <v>14</v>
      </c>
      <c r="J1015" s="13" t="s">
        <v>15</v>
      </c>
      <c r="K1015" s="13" t="s">
        <v>16</v>
      </c>
      <c r="L1015" s="2100"/>
      <c r="M1015" s="14" t="s">
        <v>17</v>
      </c>
      <c r="N1015" s="14" t="s">
        <v>18</v>
      </c>
      <c r="O1015" s="14" t="s">
        <v>19</v>
      </c>
      <c r="P1015" s="2102"/>
      <c r="Q1015" s="2266"/>
      <c r="R1015" s="2320"/>
      <c r="S1015" s="2263" t="s">
        <v>4755</v>
      </c>
      <c r="T1015" s="2263" t="s">
        <v>4756</v>
      </c>
      <c r="U1015" s="2263" t="s">
        <v>4757</v>
      </c>
      <c r="V1015" s="2263" t="s">
        <v>4758</v>
      </c>
      <c r="W1015" s="2263" t="s">
        <v>4759</v>
      </c>
      <c r="X1015" s="2264" t="s">
        <v>4760</v>
      </c>
      <c r="Y1015" s="2264" t="s">
        <v>4761</v>
      </c>
      <c r="Z1015" s="2264" t="s">
        <v>4762</v>
      </c>
      <c r="AA1015" s="2264" t="s">
        <v>4763</v>
      </c>
      <c r="AB1015" s="2264" t="s">
        <v>4764</v>
      </c>
      <c r="AC1015" s="2264" t="s">
        <v>4765</v>
      </c>
      <c r="AD1015" s="2264" t="s">
        <v>4766</v>
      </c>
      <c r="AE1015" s="2264" t="s">
        <v>4755</v>
      </c>
    </row>
    <row r="1016" spans="1:31" s="70" customFormat="1">
      <c r="A1016" s="331">
        <v>1</v>
      </c>
      <c r="B1016" s="331">
        <v>2</v>
      </c>
      <c r="C1016" s="63">
        <v>3</v>
      </c>
      <c r="D1016" s="331">
        <v>4</v>
      </c>
      <c r="E1016" s="331">
        <v>5</v>
      </c>
      <c r="F1016" s="57">
        <v>6</v>
      </c>
      <c r="G1016" s="57">
        <v>7</v>
      </c>
      <c r="H1016" s="331">
        <v>8</v>
      </c>
      <c r="I1016" s="331">
        <v>9</v>
      </c>
      <c r="J1016" s="331">
        <v>10</v>
      </c>
      <c r="K1016" s="331">
        <v>11</v>
      </c>
      <c r="L1016" s="331">
        <v>12</v>
      </c>
      <c r="M1016" s="331">
        <v>9</v>
      </c>
      <c r="N1016" s="331">
        <v>10</v>
      </c>
      <c r="O1016" s="331">
        <v>11</v>
      </c>
      <c r="P1016" s="21">
        <v>13</v>
      </c>
      <c r="Q1016" s="22"/>
      <c r="R1016" s="2321"/>
      <c r="S1016" s="485"/>
    </row>
    <row r="1017" spans="1:31" ht="18">
      <c r="A1017" s="978">
        <v>723</v>
      </c>
      <c r="B1017" s="979">
        <v>1</v>
      </c>
      <c r="C1017" s="980" t="s">
        <v>1946</v>
      </c>
      <c r="D1017" s="981" t="s">
        <v>1542</v>
      </c>
      <c r="E1017" s="982" t="s">
        <v>47</v>
      </c>
      <c r="F1017" s="982">
        <v>200</v>
      </c>
      <c r="G1017" s="983">
        <v>1999000</v>
      </c>
      <c r="H1017" s="984">
        <f>F1017*G1017</f>
        <v>399800000</v>
      </c>
      <c r="I1017" s="277">
        <v>200</v>
      </c>
      <c r="J1017" s="608">
        <v>2200000</v>
      </c>
      <c r="K1017" s="278">
        <f>I1017*J1017</f>
        <v>440000000</v>
      </c>
      <c r="L1017" s="397">
        <f>J1017-G1017</f>
        <v>201000</v>
      </c>
      <c r="M1017" s="985" t="s">
        <v>1947</v>
      </c>
      <c r="N1017" s="986" t="s">
        <v>1948</v>
      </c>
      <c r="O1017" s="987">
        <v>4</v>
      </c>
      <c r="P1017" s="400" t="s">
        <v>1949</v>
      </c>
      <c r="Q1017" s="2084">
        <f t="shared" ref="Q1017" si="137">R1017/F1017</f>
        <v>1</v>
      </c>
      <c r="R1017" s="2332">
        <f t="shared" ref="R1017" si="138">+F1017-(S1017+T1017+U1017+W1017+X1017+Y1017+Z1017+AA1017+AB1017+AC1017+AD1017+AE1017)</f>
        <v>200</v>
      </c>
      <c r="S1017" s="2086"/>
      <c r="T1017" s="2086"/>
      <c r="U1017" s="2086"/>
      <c r="V1017" s="2086"/>
      <c r="W1017" s="2087"/>
      <c r="X1017" s="2088"/>
      <c r="Y1017" s="2089"/>
      <c r="Z1017" s="2085"/>
      <c r="AA1017" s="2085"/>
      <c r="AB1017" s="2085"/>
      <c r="AC1017" s="2085"/>
      <c r="AD1017" s="2085"/>
      <c r="AE1017" s="2089"/>
    </row>
    <row r="1018" spans="1:31" s="159" customFormat="1" ht="18">
      <c r="A1018" s="988">
        <v>724</v>
      </c>
      <c r="B1018" s="989">
        <v>2</v>
      </c>
      <c r="C1018" s="990" t="s">
        <v>1950</v>
      </c>
      <c r="D1018" s="991" t="s">
        <v>1542</v>
      </c>
      <c r="E1018" s="992" t="s">
        <v>47</v>
      </c>
      <c r="F1018" s="982">
        <v>150</v>
      </c>
      <c r="G1018" s="993">
        <v>520000</v>
      </c>
      <c r="H1018" s="993">
        <f>F1018*G1018</f>
        <v>78000000</v>
      </c>
      <c r="I1018" s="993">
        <v>150</v>
      </c>
      <c r="J1018" s="993">
        <v>520000</v>
      </c>
      <c r="K1018" s="993">
        <f>I1018*J1018</f>
        <v>78000000</v>
      </c>
      <c r="L1018" s="296">
        <f>J1018-G1018</f>
        <v>0</v>
      </c>
      <c r="M1018" s="994" t="s">
        <v>1947</v>
      </c>
      <c r="N1018" s="995">
        <v>9212</v>
      </c>
      <c r="O1018" s="996">
        <v>0</v>
      </c>
      <c r="P1018" s="628" t="s">
        <v>1949</v>
      </c>
      <c r="Q1018" s="2084">
        <f t="shared" ref="Q1018:Q1021" si="139">R1018/F1018</f>
        <v>1</v>
      </c>
      <c r="R1018" s="2332">
        <f t="shared" ref="R1018:R1021" si="140">+F1018-(S1018+T1018+U1018+W1018+X1018+Y1018+Z1018+AA1018+AB1018+AC1018+AD1018+AE1018)</f>
        <v>150</v>
      </c>
      <c r="S1018" s="2086"/>
      <c r="T1018" s="2086"/>
      <c r="U1018" s="2086"/>
      <c r="V1018" s="2086"/>
      <c r="W1018" s="2087"/>
      <c r="X1018" s="2088"/>
      <c r="Y1018" s="2089"/>
      <c r="Z1018" s="2085"/>
      <c r="AA1018" s="2085"/>
      <c r="AB1018" s="2085"/>
      <c r="AC1018" s="2085"/>
      <c r="AD1018" s="2085"/>
      <c r="AE1018" s="2089"/>
    </row>
    <row r="1019" spans="1:31" ht="18">
      <c r="A1019" s="997">
        <v>725</v>
      </c>
      <c r="B1019" s="998">
        <v>3</v>
      </c>
      <c r="C1019" s="999" t="s">
        <v>1951</v>
      </c>
      <c r="D1019" s="1000" t="s">
        <v>1542</v>
      </c>
      <c r="E1019" s="1001" t="s">
        <v>47</v>
      </c>
      <c r="F1019" s="1002">
        <v>300</v>
      </c>
      <c r="G1019" s="1003">
        <v>411500</v>
      </c>
      <c r="H1019" s="1004">
        <f>F1019*G1019</f>
        <v>123450000</v>
      </c>
      <c r="I1019" s="287">
        <v>300</v>
      </c>
      <c r="J1019" s="495">
        <v>490000</v>
      </c>
      <c r="K1019" s="164">
        <f>I1019*J1019</f>
        <v>147000000</v>
      </c>
      <c r="L1019" s="304">
        <f>J1019-G1019</f>
        <v>78500</v>
      </c>
      <c r="M1019" s="1005" t="s">
        <v>1947</v>
      </c>
      <c r="N1019" s="1006">
        <v>9991</v>
      </c>
      <c r="O1019" s="1007">
        <v>0</v>
      </c>
      <c r="P1019" s="403" t="s">
        <v>1949</v>
      </c>
      <c r="Q1019" s="2084">
        <f t="shared" si="139"/>
        <v>1</v>
      </c>
      <c r="R1019" s="2332">
        <f t="shared" si="140"/>
        <v>300</v>
      </c>
      <c r="S1019" s="2086"/>
      <c r="T1019" s="2086"/>
      <c r="U1019" s="2086"/>
      <c r="V1019" s="2086"/>
      <c r="W1019" s="2087"/>
      <c r="X1019" s="2088"/>
      <c r="Y1019" s="2089"/>
      <c r="Z1019" s="2085"/>
      <c r="AA1019" s="2085"/>
      <c r="AB1019" s="2085"/>
      <c r="AC1019" s="2085"/>
      <c r="AD1019" s="2085"/>
      <c r="AE1019" s="2089"/>
    </row>
    <row r="1020" spans="1:31" ht="18">
      <c r="A1020" s="997">
        <v>726</v>
      </c>
      <c r="B1020" s="998">
        <v>4</v>
      </c>
      <c r="C1020" s="999" t="s">
        <v>1952</v>
      </c>
      <c r="D1020" s="1000" t="s">
        <v>1542</v>
      </c>
      <c r="E1020" s="1001" t="s">
        <v>47</v>
      </c>
      <c r="F1020" s="1002">
        <v>100</v>
      </c>
      <c r="G1020" s="1003">
        <v>1730000</v>
      </c>
      <c r="H1020" s="1004">
        <f>F1020*G1020</f>
        <v>173000000</v>
      </c>
      <c r="I1020" s="287">
        <v>100</v>
      </c>
      <c r="J1020" s="495">
        <v>1850000</v>
      </c>
      <c r="K1020" s="164">
        <f>I1020*J1020</f>
        <v>185000000</v>
      </c>
      <c r="L1020" s="304">
        <f>J1020-G1020</f>
        <v>120000</v>
      </c>
      <c r="M1020" s="1005" t="s">
        <v>1947</v>
      </c>
      <c r="N1020" s="1006" t="s">
        <v>1953</v>
      </c>
      <c r="O1020" s="1007">
        <v>0</v>
      </c>
      <c r="P1020" s="403" t="s">
        <v>1949</v>
      </c>
      <c r="Q1020" s="2084">
        <f t="shared" si="139"/>
        <v>1</v>
      </c>
      <c r="R1020" s="2332">
        <f t="shared" si="140"/>
        <v>100</v>
      </c>
      <c r="S1020" s="2086"/>
      <c r="T1020" s="2086"/>
      <c r="U1020" s="2086"/>
      <c r="V1020" s="2086"/>
      <c r="W1020" s="2087"/>
      <c r="X1020" s="2088"/>
      <c r="Y1020" s="2089"/>
      <c r="Z1020" s="2085"/>
      <c r="AA1020" s="2085"/>
      <c r="AB1020" s="2085"/>
      <c r="AC1020" s="2085"/>
      <c r="AD1020" s="2085"/>
      <c r="AE1020" s="2089"/>
    </row>
    <row r="1021" spans="1:31" ht="18">
      <c r="A1021" s="1008">
        <v>727</v>
      </c>
      <c r="B1021" s="1009">
        <v>5</v>
      </c>
      <c r="C1021" s="1010" t="s">
        <v>1954</v>
      </c>
      <c r="D1021" s="1011" t="s">
        <v>1542</v>
      </c>
      <c r="E1021" s="1012" t="s">
        <v>192</v>
      </c>
      <c r="F1021" s="1012">
        <v>80</v>
      </c>
      <c r="G1021" s="1013">
        <v>7900000</v>
      </c>
      <c r="H1021" s="1014">
        <f>F1021*G1021</f>
        <v>632000000</v>
      </c>
      <c r="I1021" s="816">
        <v>80</v>
      </c>
      <c r="J1021" s="856">
        <v>8000000</v>
      </c>
      <c r="K1021" s="175">
        <f>I1021*J1021</f>
        <v>640000000</v>
      </c>
      <c r="L1021" s="784">
        <f>J1021-G1021</f>
        <v>100000</v>
      </c>
      <c r="M1021" s="1015" t="s">
        <v>1955</v>
      </c>
      <c r="N1021" s="1016" t="s">
        <v>1956</v>
      </c>
      <c r="O1021" s="1017">
        <v>6</v>
      </c>
      <c r="P1021" s="786" t="s">
        <v>1949</v>
      </c>
      <c r="Q1021" s="2084">
        <f t="shared" si="139"/>
        <v>1</v>
      </c>
      <c r="R1021" s="2332">
        <f t="shared" si="140"/>
        <v>80</v>
      </c>
      <c r="S1021" s="2086"/>
      <c r="T1021" s="2086"/>
      <c r="U1021" s="2086"/>
      <c r="V1021" s="2086"/>
      <c r="W1021" s="2087"/>
      <c r="X1021" s="2088"/>
      <c r="Y1021" s="2089"/>
      <c r="Z1021" s="2085"/>
      <c r="AA1021" s="2085"/>
      <c r="AB1021" s="2085"/>
      <c r="AC1021" s="2085"/>
      <c r="AD1021" s="2085"/>
      <c r="AE1021" s="2089"/>
    </row>
    <row r="1022" spans="1:31">
      <c r="A1022" s="2158" t="s">
        <v>1618</v>
      </c>
      <c r="B1022" s="2158"/>
      <c r="C1022" s="2158"/>
      <c r="D1022" s="2158"/>
      <c r="E1022" s="2158"/>
      <c r="F1022" s="2158"/>
      <c r="G1022" s="2158"/>
      <c r="H1022" s="2308">
        <f>SUM(H1017:H1021)</f>
        <v>1406250000</v>
      </c>
      <c r="I1022" s="248"/>
      <c r="J1022" s="248"/>
      <c r="K1022" s="1018">
        <f>SUM(K1017:K1021)</f>
        <v>1490000000</v>
      </c>
      <c r="L1022" s="248"/>
      <c r="M1022" s="1019"/>
      <c r="N1022" s="1020"/>
      <c r="O1022" s="1019"/>
      <c r="P1022" s="142"/>
      <c r="Q1022" s="115"/>
    </row>
    <row r="1023" spans="1:31">
      <c r="A1023" s="2159" t="s">
        <v>1957</v>
      </c>
      <c r="B1023" s="2159"/>
      <c r="C1023" s="2159"/>
      <c r="D1023" s="2159"/>
      <c r="E1023" s="2159"/>
      <c r="F1023" s="2159"/>
      <c r="G1023" s="2159"/>
      <c r="H1023" s="2159"/>
      <c r="I1023" s="2159"/>
      <c r="J1023" s="2159"/>
      <c r="K1023" s="2159"/>
    </row>
    <row r="1024" spans="1:31">
      <c r="A1024" s="1021"/>
      <c r="B1024" s="1021"/>
      <c r="C1024" s="1021"/>
      <c r="D1024" s="1021"/>
      <c r="E1024" s="1021"/>
      <c r="F1024" s="1021"/>
      <c r="G1024" s="1021"/>
      <c r="H1024" s="1021"/>
      <c r="I1024" s="1021"/>
      <c r="J1024" s="1021"/>
      <c r="K1024" s="1021"/>
    </row>
    <row r="1025" spans="1:31">
      <c r="A1025" s="1021"/>
      <c r="B1025" s="1021"/>
      <c r="C1025" s="1021"/>
      <c r="D1025" s="1021"/>
      <c r="E1025" s="1021"/>
      <c r="F1025" s="1021"/>
      <c r="G1025" s="1021"/>
      <c r="H1025" s="1021"/>
      <c r="I1025" s="1021"/>
      <c r="J1025" s="1021"/>
      <c r="K1025" s="1021"/>
    </row>
    <row r="1026" spans="1:31">
      <c r="A1026" s="1021"/>
      <c r="B1026" s="1021"/>
      <c r="C1026" s="1021"/>
      <c r="D1026" s="1021"/>
      <c r="E1026" s="1021"/>
      <c r="F1026" s="1021"/>
      <c r="G1026" s="1021"/>
      <c r="H1026" s="1021"/>
      <c r="I1026" s="1021"/>
      <c r="J1026" s="1021"/>
      <c r="K1026" s="1021"/>
    </row>
    <row r="1028" spans="1:31">
      <c r="A1028" s="71" t="s">
        <v>1958</v>
      </c>
    </row>
    <row r="1029" spans="1:31" s="12" customFormat="1">
      <c r="A1029" s="2092" t="s">
        <v>5</v>
      </c>
      <c r="B1029" s="2092" t="s">
        <v>6</v>
      </c>
      <c r="C1029" s="2094" t="s">
        <v>7</v>
      </c>
      <c r="D1029" s="2096" t="s">
        <v>8</v>
      </c>
      <c r="E1029" s="2092" t="s">
        <v>9</v>
      </c>
      <c r="F1029" s="2098" t="s">
        <v>10</v>
      </c>
      <c r="G1029" s="2098"/>
      <c r="H1029" s="2098"/>
      <c r="I1029" s="2098" t="s">
        <v>11</v>
      </c>
      <c r="J1029" s="2098"/>
      <c r="K1029" s="2098"/>
      <c r="L1029" s="2099" t="s">
        <v>12</v>
      </c>
      <c r="M1029" s="9"/>
      <c r="N1029" s="9"/>
      <c r="O1029" s="9"/>
      <c r="P1029" s="2101" t="s">
        <v>13</v>
      </c>
      <c r="Q1029" s="2265" t="s">
        <v>4740</v>
      </c>
      <c r="R1029" s="2319" t="s">
        <v>4754</v>
      </c>
      <c r="S1029" s="2267" t="s">
        <v>4767</v>
      </c>
      <c r="T1029" s="2268"/>
      <c r="U1029" s="2268"/>
      <c r="V1029" s="2268"/>
      <c r="W1029" s="2269"/>
      <c r="X1029" s="2267" t="s">
        <v>4768</v>
      </c>
      <c r="Y1029" s="2268"/>
      <c r="Z1029" s="2268"/>
      <c r="AA1029" s="2268"/>
      <c r="AB1029" s="2268"/>
      <c r="AC1029" s="2268"/>
      <c r="AD1029" s="2268"/>
      <c r="AE1029" s="2269"/>
    </row>
    <row r="1030" spans="1:31" s="16" customFormat="1" ht="27">
      <c r="A1030" s="2093"/>
      <c r="B1030" s="2093"/>
      <c r="C1030" s="2095"/>
      <c r="D1030" s="2097"/>
      <c r="E1030" s="2093"/>
      <c r="F1030" s="13" t="s">
        <v>14</v>
      </c>
      <c r="G1030" s="13" t="s">
        <v>15</v>
      </c>
      <c r="H1030" s="13" t="s">
        <v>16</v>
      </c>
      <c r="I1030" s="13" t="s">
        <v>14</v>
      </c>
      <c r="J1030" s="13" t="s">
        <v>15</v>
      </c>
      <c r="K1030" s="13" t="s">
        <v>16</v>
      </c>
      <c r="L1030" s="2100"/>
      <c r="M1030" s="14" t="s">
        <v>17</v>
      </c>
      <c r="N1030" s="14" t="s">
        <v>18</v>
      </c>
      <c r="O1030" s="14" t="s">
        <v>19</v>
      </c>
      <c r="P1030" s="2102"/>
      <c r="Q1030" s="2266"/>
      <c r="R1030" s="2320"/>
      <c r="S1030" s="2263" t="s">
        <v>4755</v>
      </c>
      <c r="T1030" s="2263" t="s">
        <v>4756</v>
      </c>
      <c r="U1030" s="2263" t="s">
        <v>4757</v>
      </c>
      <c r="V1030" s="2263" t="s">
        <v>4758</v>
      </c>
      <c r="W1030" s="2263" t="s">
        <v>4759</v>
      </c>
      <c r="X1030" s="2264" t="s">
        <v>4760</v>
      </c>
      <c r="Y1030" s="2264" t="s">
        <v>4761</v>
      </c>
      <c r="Z1030" s="2264" t="s">
        <v>4762</v>
      </c>
      <c r="AA1030" s="2264" t="s">
        <v>4763</v>
      </c>
      <c r="AB1030" s="2264" t="s">
        <v>4764</v>
      </c>
      <c r="AC1030" s="2264" t="s">
        <v>4765</v>
      </c>
      <c r="AD1030" s="2264" t="s">
        <v>4766</v>
      </c>
      <c r="AE1030" s="2264" t="s">
        <v>4755</v>
      </c>
    </row>
    <row r="1031" spans="1:31" s="70" customFormat="1">
      <c r="A1031" s="331">
        <v>1</v>
      </c>
      <c r="B1031" s="331">
        <v>2</v>
      </c>
      <c r="C1031" s="63">
        <v>3</v>
      </c>
      <c r="D1031" s="331">
        <v>4</v>
      </c>
      <c r="E1031" s="331">
        <v>5</v>
      </c>
      <c r="F1031" s="57">
        <v>6</v>
      </c>
      <c r="G1031" s="57">
        <v>7</v>
      </c>
      <c r="H1031" s="331">
        <v>8</v>
      </c>
      <c r="I1031" s="331">
        <v>9</v>
      </c>
      <c r="J1031" s="331">
        <v>10</v>
      </c>
      <c r="K1031" s="331">
        <v>11</v>
      </c>
      <c r="L1031" s="331">
        <v>12</v>
      </c>
      <c r="M1031" s="331">
        <v>9</v>
      </c>
      <c r="N1031" s="331">
        <v>10</v>
      </c>
      <c r="O1031" s="331">
        <v>11</v>
      </c>
      <c r="P1031" s="21">
        <v>13</v>
      </c>
      <c r="Q1031" s="22"/>
      <c r="R1031" s="2321"/>
      <c r="S1031" s="485"/>
    </row>
    <row r="1032" spans="1:31" s="74" customFormat="1" ht="15">
      <c r="A1032" s="1022">
        <v>728</v>
      </c>
      <c r="B1032" s="1022">
        <v>1</v>
      </c>
      <c r="C1032" s="1022" t="s">
        <v>1959</v>
      </c>
      <c r="D1032" s="1022" t="s">
        <v>1960</v>
      </c>
      <c r="E1032" s="1022" t="s">
        <v>22</v>
      </c>
      <c r="F1032" s="1022">
        <v>1</v>
      </c>
      <c r="G1032" s="1023">
        <v>8500000</v>
      </c>
      <c r="H1032" s="1023">
        <f t="shared" ref="H1032:H1055" si="141">F1032*G1032</f>
        <v>8500000</v>
      </c>
      <c r="I1032" s="891">
        <v>1</v>
      </c>
      <c r="J1032" s="892">
        <v>9000000</v>
      </c>
      <c r="K1032" s="682">
        <f>I1032*J1032</f>
        <v>9000000</v>
      </c>
      <c r="L1032" s="682">
        <f t="shared" ref="L1032:L1055" si="142">J1032-G1032</f>
        <v>500000</v>
      </c>
      <c r="M1032" s="1023" t="s">
        <v>1961</v>
      </c>
      <c r="N1032" s="1023" t="s">
        <v>1962</v>
      </c>
      <c r="O1032" s="1023">
        <v>1</v>
      </c>
      <c r="P1032" s="400" t="s">
        <v>1963</v>
      </c>
      <c r="Q1032" s="2084">
        <f t="shared" ref="Q1032" si="143">R1032/F1032</f>
        <v>1</v>
      </c>
      <c r="R1032" s="2332">
        <f t="shared" ref="R1032" si="144">+F1032-(S1032+T1032+U1032+W1032+X1032+Y1032+Z1032+AA1032+AB1032+AC1032+AD1032+AE1032)</f>
        <v>1</v>
      </c>
      <c r="S1032" s="2086"/>
      <c r="T1032" s="2086"/>
      <c r="U1032" s="2086"/>
      <c r="V1032" s="2086"/>
      <c r="W1032" s="2087"/>
      <c r="X1032" s="2088"/>
      <c r="Y1032" s="2089"/>
      <c r="Z1032" s="2085"/>
      <c r="AA1032" s="2085"/>
      <c r="AB1032" s="2085"/>
      <c r="AC1032" s="2085"/>
      <c r="AD1032" s="2085"/>
      <c r="AE1032" s="2089"/>
    </row>
    <row r="1033" spans="1:31" s="74" customFormat="1" ht="126">
      <c r="A1033" s="1025">
        <v>729</v>
      </c>
      <c r="B1033" s="1025">
        <v>2</v>
      </c>
      <c r="C1033" s="1025" t="s">
        <v>1964</v>
      </c>
      <c r="D1033" s="1025" t="s">
        <v>1965</v>
      </c>
      <c r="E1033" s="1025" t="s">
        <v>1966</v>
      </c>
      <c r="F1033" s="1025">
        <v>100</v>
      </c>
      <c r="G1033" s="1026">
        <v>117000</v>
      </c>
      <c r="H1033" s="1026">
        <f t="shared" si="141"/>
        <v>11700000</v>
      </c>
      <c r="I1033" s="896">
        <v>100</v>
      </c>
      <c r="J1033" s="897">
        <v>120000</v>
      </c>
      <c r="K1033" s="692">
        <f t="shared" ref="K1033:K1055" si="145">I1033*J1033</f>
        <v>12000000</v>
      </c>
      <c r="L1033" s="692">
        <f t="shared" si="142"/>
        <v>3000</v>
      </c>
      <c r="M1033" s="1026" t="s">
        <v>1967</v>
      </c>
      <c r="N1033" s="1026" t="s">
        <v>1968</v>
      </c>
      <c r="O1033" s="1026">
        <v>1</v>
      </c>
      <c r="P1033" s="403" t="s">
        <v>1963</v>
      </c>
      <c r="Q1033" s="2084">
        <f t="shared" ref="Q1033:Q1055" si="146">R1033/F1033</f>
        <v>1</v>
      </c>
      <c r="R1033" s="2332">
        <f t="shared" ref="R1033:R1055" si="147">+F1033-(S1033+T1033+U1033+W1033+X1033+Y1033+Z1033+AA1033+AB1033+AC1033+AD1033+AE1033)</f>
        <v>100</v>
      </c>
      <c r="S1033" s="2086"/>
      <c r="T1033" s="2086"/>
      <c r="U1033" s="2086"/>
      <c r="V1033" s="2086"/>
      <c r="W1033" s="2087"/>
      <c r="X1033" s="2088"/>
      <c r="Y1033" s="2089"/>
      <c r="Z1033" s="2085"/>
      <c r="AA1033" s="2085"/>
      <c r="AB1033" s="2085"/>
      <c r="AC1033" s="2085"/>
      <c r="AD1033" s="2085"/>
      <c r="AE1033" s="2089"/>
    </row>
    <row r="1034" spans="1:31" s="74" customFormat="1" ht="81">
      <c r="A1034" s="1025">
        <v>730</v>
      </c>
      <c r="B1034" s="1025">
        <v>3</v>
      </c>
      <c r="C1034" s="1025" t="s">
        <v>1969</v>
      </c>
      <c r="D1034" s="1025" t="s">
        <v>1965</v>
      </c>
      <c r="E1034" s="1025" t="s">
        <v>1966</v>
      </c>
      <c r="F1034" s="1025">
        <v>100</v>
      </c>
      <c r="G1034" s="1026">
        <v>150000</v>
      </c>
      <c r="H1034" s="1026">
        <f t="shared" si="141"/>
        <v>15000000</v>
      </c>
      <c r="I1034" s="896">
        <v>100</v>
      </c>
      <c r="J1034" s="897">
        <v>155000</v>
      </c>
      <c r="K1034" s="692">
        <f t="shared" si="145"/>
        <v>15500000</v>
      </c>
      <c r="L1034" s="692">
        <f t="shared" si="142"/>
        <v>5000</v>
      </c>
      <c r="M1034" s="1026" t="s">
        <v>1967</v>
      </c>
      <c r="N1034" s="1026" t="s">
        <v>1970</v>
      </c>
      <c r="O1034" s="1026">
        <v>1</v>
      </c>
      <c r="P1034" s="403" t="s">
        <v>1963</v>
      </c>
      <c r="Q1034" s="2084">
        <f t="shared" si="146"/>
        <v>1</v>
      </c>
      <c r="R1034" s="2332">
        <f t="shared" si="147"/>
        <v>100</v>
      </c>
      <c r="S1034" s="2086"/>
      <c r="T1034" s="2086"/>
      <c r="U1034" s="2086"/>
      <c r="V1034" s="2086"/>
      <c r="W1034" s="2087"/>
      <c r="X1034" s="2088"/>
      <c r="Y1034" s="2089"/>
      <c r="Z1034" s="2085"/>
      <c r="AA1034" s="2085"/>
      <c r="AB1034" s="2085"/>
      <c r="AC1034" s="2085"/>
      <c r="AD1034" s="2085"/>
      <c r="AE1034" s="2089"/>
    </row>
    <row r="1035" spans="1:31" s="74" customFormat="1" ht="72">
      <c r="A1035" s="1025">
        <v>731</v>
      </c>
      <c r="B1035" s="1025">
        <v>4</v>
      </c>
      <c r="C1035" s="1025" t="s">
        <v>1971</v>
      </c>
      <c r="D1035" s="1025" t="s">
        <v>1972</v>
      </c>
      <c r="E1035" s="1025" t="s">
        <v>22</v>
      </c>
      <c r="F1035" s="1025">
        <v>100</v>
      </c>
      <c r="G1035" s="1026">
        <v>100000</v>
      </c>
      <c r="H1035" s="1026">
        <f t="shared" si="141"/>
        <v>10000000</v>
      </c>
      <c r="I1035" s="896">
        <v>100</v>
      </c>
      <c r="J1035" s="897">
        <v>120000</v>
      </c>
      <c r="K1035" s="692">
        <f t="shared" si="145"/>
        <v>12000000</v>
      </c>
      <c r="L1035" s="692">
        <f t="shared" si="142"/>
        <v>20000</v>
      </c>
      <c r="M1035" s="1026" t="s">
        <v>1973</v>
      </c>
      <c r="N1035" s="1026" t="s">
        <v>1974</v>
      </c>
      <c r="O1035" s="1026">
        <v>1</v>
      </c>
      <c r="P1035" s="403" t="s">
        <v>1963</v>
      </c>
      <c r="Q1035" s="2084">
        <f t="shared" si="146"/>
        <v>1</v>
      </c>
      <c r="R1035" s="2332">
        <f t="shared" si="147"/>
        <v>100</v>
      </c>
      <c r="S1035" s="2086"/>
      <c r="T1035" s="2086"/>
      <c r="U1035" s="2086"/>
      <c r="V1035" s="2086"/>
      <c r="W1035" s="2087"/>
      <c r="X1035" s="2088"/>
      <c r="Y1035" s="2089"/>
      <c r="Z1035" s="2085"/>
      <c r="AA1035" s="2085"/>
      <c r="AB1035" s="2085"/>
      <c r="AC1035" s="2085"/>
      <c r="AD1035" s="2085"/>
      <c r="AE1035" s="2089"/>
    </row>
    <row r="1036" spans="1:31" s="74" customFormat="1" ht="54">
      <c r="A1036" s="1025">
        <v>732</v>
      </c>
      <c r="B1036" s="1025">
        <v>5</v>
      </c>
      <c r="C1036" s="1026" t="s">
        <v>1975</v>
      </c>
      <c r="D1036" s="1026" t="s">
        <v>1972</v>
      </c>
      <c r="E1036" s="1026" t="s">
        <v>22</v>
      </c>
      <c r="F1036" s="1026">
        <v>100</v>
      </c>
      <c r="G1036" s="1026">
        <v>120000</v>
      </c>
      <c r="H1036" s="1026">
        <f t="shared" si="141"/>
        <v>12000000</v>
      </c>
      <c r="I1036" s="896">
        <v>100</v>
      </c>
      <c r="J1036" s="897">
        <v>132000</v>
      </c>
      <c r="K1036" s="692">
        <f t="shared" si="145"/>
        <v>13200000</v>
      </c>
      <c r="L1036" s="692">
        <f t="shared" si="142"/>
        <v>12000</v>
      </c>
      <c r="M1036" s="1026" t="s">
        <v>1973</v>
      </c>
      <c r="N1036" s="1026" t="s">
        <v>1976</v>
      </c>
      <c r="O1036" s="1026">
        <v>1</v>
      </c>
      <c r="P1036" s="403" t="s">
        <v>1963</v>
      </c>
      <c r="Q1036" s="2084">
        <f t="shared" si="146"/>
        <v>1</v>
      </c>
      <c r="R1036" s="2332">
        <f t="shared" si="147"/>
        <v>100</v>
      </c>
      <c r="S1036" s="2086"/>
      <c r="T1036" s="2086"/>
      <c r="U1036" s="2086"/>
      <c r="V1036" s="2086"/>
      <c r="W1036" s="2087"/>
      <c r="X1036" s="2088"/>
      <c r="Y1036" s="2089"/>
      <c r="Z1036" s="2085"/>
      <c r="AA1036" s="2085"/>
      <c r="AB1036" s="2085"/>
      <c r="AC1036" s="2085"/>
      <c r="AD1036" s="2085"/>
      <c r="AE1036" s="2089"/>
    </row>
    <row r="1037" spans="1:31" s="74" customFormat="1" ht="360">
      <c r="A1037" s="1025">
        <v>733</v>
      </c>
      <c r="B1037" s="1025">
        <v>6</v>
      </c>
      <c r="C1037" s="1026" t="s">
        <v>1977</v>
      </c>
      <c r="D1037" s="1026" t="s">
        <v>1960</v>
      </c>
      <c r="E1037" s="1026" t="s">
        <v>22</v>
      </c>
      <c r="F1037" s="1026">
        <v>50</v>
      </c>
      <c r="G1037" s="1026">
        <v>3475000</v>
      </c>
      <c r="H1037" s="1026">
        <f t="shared" si="141"/>
        <v>173750000</v>
      </c>
      <c r="I1037" s="896">
        <v>50</v>
      </c>
      <c r="J1037" s="897">
        <v>3500000</v>
      </c>
      <c r="K1037" s="692">
        <f t="shared" si="145"/>
        <v>175000000</v>
      </c>
      <c r="L1037" s="692">
        <f t="shared" si="142"/>
        <v>25000</v>
      </c>
      <c r="M1037" s="1026" t="s">
        <v>1978</v>
      </c>
      <c r="N1037" s="1026" t="s">
        <v>1979</v>
      </c>
      <c r="O1037" s="1026">
        <v>8</v>
      </c>
      <c r="P1037" s="403" t="s">
        <v>1963</v>
      </c>
      <c r="Q1037" s="2084">
        <f t="shared" si="146"/>
        <v>1</v>
      </c>
      <c r="R1037" s="2332">
        <f t="shared" si="147"/>
        <v>50</v>
      </c>
      <c r="S1037" s="2086"/>
      <c r="T1037" s="2086"/>
      <c r="U1037" s="2086"/>
      <c r="V1037" s="2086"/>
      <c r="W1037" s="2087"/>
      <c r="X1037" s="2088"/>
      <c r="Y1037" s="2089"/>
      <c r="Z1037" s="2085"/>
      <c r="AA1037" s="2085"/>
      <c r="AB1037" s="2085"/>
      <c r="AC1037" s="2085"/>
      <c r="AD1037" s="2085"/>
      <c r="AE1037" s="2089"/>
    </row>
    <row r="1038" spans="1:31" s="74" customFormat="1" ht="297">
      <c r="A1038" s="1025">
        <v>734</v>
      </c>
      <c r="B1038" s="1025">
        <v>7</v>
      </c>
      <c r="C1038" s="1026" t="s">
        <v>1980</v>
      </c>
      <c r="D1038" s="1026" t="s">
        <v>1960</v>
      </c>
      <c r="E1038" s="1026" t="s">
        <v>22</v>
      </c>
      <c r="F1038" s="1026">
        <v>50</v>
      </c>
      <c r="G1038" s="1026">
        <v>2975000</v>
      </c>
      <c r="H1038" s="1026">
        <f t="shared" si="141"/>
        <v>148750000</v>
      </c>
      <c r="I1038" s="896">
        <v>50</v>
      </c>
      <c r="J1038" s="897">
        <v>3000000</v>
      </c>
      <c r="K1038" s="692">
        <f t="shared" si="145"/>
        <v>150000000</v>
      </c>
      <c r="L1038" s="692">
        <f t="shared" si="142"/>
        <v>25000</v>
      </c>
      <c r="M1038" s="1026" t="s">
        <v>1978</v>
      </c>
      <c r="N1038" s="1026" t="s">
        <v>1981</v>
      </c>
      <c r="O1038" s="1026">
        <v>8</v>
      </c>
      <c r="P1038" s="403" t="s">
        <v>1963</v>
      </c>
      <c r="Q1038" s="2084">
        <f t="shared" si="146"/>
        <v>1</v>
      </c>
      <c r="R1038" s="2332">
        <f t="shared" si="147"/>
        <v>50</v>
      </c>
      <c r="S1038" s="2086"/>
      <c r="T1038" s="2086"/>
      <c r="U1038" s="2086"/>
      <c r="V1038" s="2086"/>
      <c r="W1038" s="2087"/>
      <c r="X1038" s="2088"/>
      <c r="Y1038" s="2089"/>
      <c r="Z1038" s="2085"/>
      <c r="AA1038" s="2085"/>
      <c r="AB1038" s="2085"/>
      <c r="AC1038" s="2085"/>
      <c r="AD1038" s="2085"/>
      <c r="AE1038" s="2089"/>
    </row>
    <row r="1039" spans="1:31" s="74" customFormat="1" ht="72">
      <c r="A1039" s="1025">
        <v>735</v>
      </c>
      <c r="B1039" s="1025">
        <v>8</v>
      </c>
      <c r="C1039" s="1026" t="s">
        <v>1982</v>
      </c>
      <c r="D1039" s="1026" t="s">
        <v>1983</v>
      </c>
      <c r="E1039" s="1026" t="s">
        <v>1966</v>
      </c>
      <c r="F1039" s="1026">
        <v>100</v>
      </c>
      <c r="G1039" s="1026">
        <v>255000</v>
      </c>
      <c r="H1039" s="1026">
        <f t="shared" si="141"/>
        <v>25500000</v>
      </c>
      <c r="I1039" s="896">
        <v>100</v>
      </c>
      <c r="J1039" s="897">
        <v>260000</v>
      </c>
      <c r="K1039" s="692">
        <f t="shared" si="145"/>
        <v>26000000</v>
      </c>
      <c r="L1039" s="692">
        <f t="shared" si="142"/>
        <v>5000</v>
      </c>
      <c r="M1039" s="1026" t="s">
        <v>1967</v>
      </c>
      <c r="N1039" s="1026" t="s">
        <v>1984</v>
      </c>
      <c r="O1039" s="1026">
        <v>1</v>
      </c>
      <c r="P1039" s="403" t="s">
        <v>1963</v>
      </c>
      <c r="Q1039" s="2084">
        <f t="shared" si="146"/>
        <v>1</v>
      </c>
      <c r="R1039" s="2332">
        <f t="shared" si="147"/>
        <v>100</v>
      </c>
      <c r="S1039" s="2086"/>
      <c r="T1039" s="2086"/>
      <c r="U1039" s="2086"/>
      <c r="V1039" s="2086"/>
      <c r="W1039" s="2087"/>
      <c r="X1039" s="2088"/>
      <c r="Y1039" s="2089"/>
      <c r="Z1039" s="2085"/>
      <c r="AA1039" s="2085"/>
      <c r="AB1039" s="2085"/>
      <c r="AC1039" s="2085"/>
      <c r="AD1039" s="2085"/>
      <c r="AE1039" s="2089"/>
    </row>
    <row r="1040" spans="1:31" s="74" customFormat="1" ht="36">
      <c r="A1040" s="1025">
        <v>736</v>
      </c>
      <c r="B1040" s="1025">
        <v>9</v>
      </c>
      <c r="C1040" s="1026" t="s">
        <v>1985</v>
      </c>
      <c r="D1040" s="1026" t="s">
        <v>22</v>
      </c>
      <c r="E1040" s="1026" t="s">
        <v>22</v>
      </c>
      <c r="F1040" s="1026">
        <v>150</v>
      </c>
      <c r="G1040" s="1026">
        <v>198000</v>
      </c>
      <c r="H1040" s="1026">
        <f t="shared" si="141"/>
        <v>29700000</v>
      </c>
      <c r="I1040" s="896">
        <v>150</v>
      </c>
      <c r="J1040" s="897">
        <v>220000</v>
      </c>
      <c r="K1040" s="692">
        <f t="shared" si="145"/>
        <v>33000000</v>
      </c>
      <c r="L1040" s="692">
        <f t="shared" si="142"/>
        <v>22000</v>
      </c>
      <c r="M1040" s="1026" t="s">
        <v>1986</v>
      </c>
      <c r="N1040" s="1025" t="s">
        <v>1987</v>
      </c>
      <c r="O1040" s="1026">
        <v>1</v>
      </c>
      <c r="P1040" s="403" t="s">
        <v>1963</v>
      </c>
      <c r="Q1040" s="2084">
        <f t="shared" si="146"/>
        <v>1</v>
      </c>
      <c r="R1040" s="2332">
        <f t="shared" si="147"/>
        <v>150</v>
      </c>
      <c r="S1040" s="2086"/>
      <c r="T1040" s="2086"/>
      <c r="U1040" s="2086"/>
      <c r="V1040" s="2086"/>
      <c r="W1040" s="2087"/>
      <c r="X1040" s="2088"/>
      <c r="Y1040" s="2089"/>
      <c r="Z1040" s="2085"/>
      <c r="AA1040" s="2085"/>
      <c r="AB1040" s="2085"/>
      <c r="AC1040" s="2085"/>
      <c r="AD1040" s="2085"/>
      <c r="AE1040" s="2089"/>
    </row>
    <row r="1041" spans="1:31" s="74" customFormat="1" ht="15">
      <c r="A1041" s="1025">
        <v>737</v>
      </c>
      <c r="B1041" s="1025">
        <v>10</v>
      </c>
      <c r="C1041" s="1026" t="s">
        <v>1988</v>
      </c>
      <c r="D1041" s="1026" t="s">
        <v>22</v>
      </c>
      <c r="E1041" s="1026" t="s">
        <v>22</v>
      </c>
      <c r="F1041" s="1026">
        <v>150</v>
      </c>
      <c r="G1041" s="1026">
        <v>185000</v>
      </c>
      <c r="H1041" s="1026">
        <f t="shared" si="141"/>
        <v>27750000</v>
      </c>
      <c r="I1041" s="896">
        <v>150</v>
      </c>
      <c r="J1041" s="897">
        <v>187600</v>
      </c>
      <c r="K1041" s="692">
        <f t="shared" si="145"/>
        <v>28140000</v>
      </c>
      <c r="L1041" s="692">
        <f t="shared" si="142"/>
        <v>2600</v>
      </c>
      <c r="M1041" s="1026" t="s">
        <v>1986</v>
      </c>
      <c r="N1041" s="1025"/>
      <c r="O1041" s="1026">
        <v>1</v>
      </c>
      <c r="P1041" s="403" t="s">
        <v>1963</v>
      </c>
      <c r="Q1041" s="2084">
        <f t="shared" si="146"/>
        <v>1</v>
      </c>
      <c r="R1041" s="2332">
        <f t="shared" si="147"/>
        <v>150</v>
      </c>
      <c r="S1041" s="2086"/>
      <c r="T1041" s="2086"/>
      <c r="U1041" s="2086"/>
      <c r="V1041" s="2086"/>
      <c r="W1041" s="2087"/>
      <c r="X1041" s="2088"/>
      <c r="Y1041" s="2089"/>
      <c r="Z1041" s="2085"/>
      <c r="AA1041" s="2085"/>
      <c r="AB1041" s="2085"/>
      <c r="AC1041" s="2085"/>
      <c r="AD1041" s="2085"/>
      <c r="AE1041" s="2089"/>
    </row>
    <row r="1042" spans="1:31" s="74" customFormat="1" ht="15">
      <c r="A1042" s="1025">
        <v>738</v>
      </c>
      <c r="B1042" s="1025">
        <v>11</v>
      </c>
      <c r="C1042" s="1026" t="s">
        <v>1989</v>
      </c>
      <c r="D1042" s="1026" t="s">
        <v>1990</v>
      </c>
      <c r="E1042" s="1026" t="s">
        <v>1990</v>
      </c>
      <c r="F1042" s="1026">
        <v>20</v>
      </c>
      <c r="G1042" s="1026">
        <v>1485000</v>
      </c>
      <c r="H1042" s="1026">
        <f t="shared" si="141"/>
        <v>29700000</v>
      </c>
      <c r="I1042" s="896">
        <v>20</v>
      </c>
      <c r="J1042" s="897">
        <v>1500000</v>
      </c>
      <c r="K1042" s="692">
        <f t="shared" si="145"/>
        <v>30000000</v>
      </c>
      <c r="L1042" s="692">
        <f t="shared" si="142"/>
        <v>15000</v>
      </c>
      <c r="M1042" s="1026" t="s">
        <v>1991</v>
      </c>
      <c r="N1042" s="1025" t="s">
        <v>1992</v>
      </c>
      <c r="O1042" s="1026">
        <v>1</v>
      </c>
      <c r="P1042" s="403" t="s">
        <v>1963</v>
      </c>
      <c r="Q1042" s="2084">
        <f t="shared" si="146"/>
        <v>1</v>
      </c>
      <c r="R1042" s="2332">
        <f t="shared" si="147"/>
        <v>20</v>
      </c>
      <c r="S1042" s="2086"/>
      <c r="T1042" s="2086"/>
      <c r="U1042" s="2086"/>
      <c r="V1042" s="2086"/>
      <c r="W1042" s="2087"/>
      <c r="X1042" s="2088"/>
      <c r="Y1042" s="2089"/>
      <c r="Z1042" s="2085"/>
      <c r="AA1042" s="2085"/>
      <c r="AB1042" s="2085"/>
      <c r="AC1042" s="2085"/>
      <c r="AD1042" s="2085"/>
      <c r="AE1042" s="2089"/>
    </row>
    <row r="1043" spans="1:31" s="74" customFormat="1" ht="15">
      <c r="A1043" s="1025">
        <v>739</v>
      </c>
      <c r="B1043" s="1025">
        <v>12</v>
      </c>
      <c r="C1043" s="1026" t="s">
        <v>1993</v>
      </c>
      <c r="D1043" s="1026" t="s">
        <v>22</v>
      </c>
      <c r="E1043" s="1026" t="s">
        <v>22</v>
      </c>
      <c r="F1043" s="1026">
        <v>3</v>
      </c>
      <c r="G1043" s="1026">
        <v>2000000</v>
      </c>
      <c r="H1043" s="1026">
        <f t="shared" si="141"/>
        <v>6000000</v>
      </c>
      <c r="I1043" s="896">
        <v>3</v>
      </c>
      <c r="J1043" s="897">
        <v>2000000</v>
      </c>
      <c r="K1043" s="692">
        <f t="shared" si="145"/>
        <v>6000000</v>
      </c>
      <c r="L1043" s="692">
        <f t="shared" si="142"/>
        <v>0</v>
      </c>
      <c r="M1043" s="1026" t="s">
        <v>1994</v>
      </c>
      <c r="N1043" s="1025" t="s">
        <v>1995</v>
      </c>
      <c r="O1043" s="1027">
        <v>1</v>
      </c>
      <c r="P1043" s="403" t="s">
        <v>1963</v>
      </c>
      <c r="Q1043" s="2084">
        <f t="shared" si="146"/>
        <v>1</v>
      </c>
      <c r="R1043" s="2332">
        <f t="shared" si="147"/>
        <v>3</v>
      </c>
      <c r="S1043" s="2086"/>
      <c r="T1043" s="2086"/>
      <c r="U1043" s="2086"/>
      <c r="V1043" s="2086"/>
      <c r="W1043" s="2087"/>
      <c r="X1043" s="2088"/>
      <c r="Y1043" s="2089"/>
      <c r="Z1043" s="2085"/>
      <c r="AA1043" s="2085"/>
      <c r="AB1043" s="2085"/>
      <c r="AC1043" s="2085"/>
      <c r="AD1043" s="2085"/>
      <c r="AE1043" s="2089"/>
    </row>
    <row r="1044" spans="1:31" s="74" customFormat="1" ht="15">
      <c r="A1044" s="1025">
        <v>740</v>
      </c>
      <c r="B1044" s="1025">
        <v>13</v>
      </c>
      <c r="C1044" s="1026" t="s">
        <v>1996</v>
      </c>
      <c r="D1044" s="1026" t="s">
        <v>22</v>
      </c>
      <c r="E1044" s="1026" t="s">
        <v>22</v>
      </c>
      <c r="F1044" s="1026">
        <v>2</v>
      </c>
      <c r="G1044" s="1026">
        <v>2495000</v>
      </c>
      <c r="H1044" s="1026">
        <f t="shared" si="141"/>
        <v>4990000</v>
      </c>
      <c r="I1044" s="896">
        <v>2</v>
      </c>
      <c r="J1044" s="897">
        <v>2500000</v>
      </c>
      <c r="K1044" s="692">
        <f t="shared" si="145"/>
        <v>5000000</v>
      </c>
      <c r="L1044" s="692">
        <f t="shared" si="142"/>
        <v>5000</v>
      </c>
      <c r="M1044" s="1026" t="s">
        <v>1994</v>
      </c>
      <c r="N1044" s="1025" t="s">
        <v>1997</v>
      </c>
      <c r="O1044" s="1026">
        <v>1</v>
      </c>
      <c r="P1044" s="403" t="s">
        <v>1963</v>
      </c>
      <c r="Q1044" s="2084">
        <f t="shared" si="146"/>
        <v>1</v>
      </c>
      <c r="R1044" s="2332">
        <f t="shared" si="147"/>
        <v>2</v>
      </c>
      <c r="S1044" s="2086"/>
      <c r="T1044" s="2086"/>
      <c r="U1044" s="2086"/>
      <c r="V1044" s="2086"/>
      <c r="W1044" s="2087"/>
      <c r="X1044" s="2088"/>
      <c r="Y1044" s="2089"/>
      <c r="Z1044" s="2085"/>
      <c r="AA1044" s="2085"/>
      <c r="AB1044" s="2085"/>
      <c r="AC1044" s="2085"/>
      <c r="AD1044" s="2085"/>
      <c r="AE1044" s="2089"/>
    </row>
    <row r="1045" spans="1:31" s="74" customFormat="1" ht="15">
      <c r="A1045" s="1025">
        <v>741</v>
      </c>
      <c r="B1045" s="1025">
        <v>14</v>
      </c>
      <c r="C1045" s="1026" t="s">
        <v>1998</v>
      </c>
      <c r="D1045" s="1026" t="s">
        <v>22</v>
      </c>
      <c r="E1045" s="1026" t="s">
        <v>22</v>
      </c>
      <c r="F1045" s="1026">
        <v>2</v>
      </c>
      <c r="G1045" s="1026">
        <v>3500000</v>
      </c>
      <c r="H1045" s="1026">
        <f t="shared" si="141"/>
        <v>7000000</v>
      </c>
      <c r="I1045" s="896">
        <v>2</v>
      </c>
      <c r="J1045" s="897">
        <v>3500000</v>
      </c>
      <c r="K1045" s="692">
        <f t="shared" si="145"/>
        <v>7000000</v>
      </c>
      <c r="L1045" s="692">
        <f t="shared" si="142"/>
        <v>0</v>
      </c>
      <c r="M1045" s="1026" t="s">
        <v>1999</v>
      </c>
      <c r="N1045" s="1025" t="s">
        <v>2000</v>
      </c>
      <c r="O1045" s="1026">
        <v>1</v>
      </c>
      <c r="P1045" s="403" t="s">
        <v>1963</v>
      </c>
      <c r="Q1045" s="2084">
        <f t="shared" si="146"/>
        <v>1</v>
      </c>
      <c r="R1045" s="2332">
        <f t="shared" si="147"/>
        <v>2</v>
      </c>
      <c r="S1045" s="2086"/>
      <c r="T1045" s="2086"/>
      <c r="U1045" s="2086"/>
      <c r="V1045" s="2086"/>
      <c r="W1045" s="2087"/>
      <c r="X1045" s="2088"/>
      <c r="Y1045" s="2089"/>
      <c r="Z1045" s="2085"/>
      <c r="AA1045" s="2085"/>
      <c r="AB1045" s="2085"/>
      <c r="AC1045" s="2085"/>
      <c r="AD1045" s="2085"/>
      <c r="AE1045" s="2089"/>
    </row>
    <row r="1046" spans="1:31" s="74" customFormat="1" ht="15">
      <c r="A1046" s="1025">
        <v>742</v>
      </c>
      <c r="B1046" s="1025">
        <v>15</v>
      </c>
      <c r="C1046" s="1026" t="s">
        <v>2001</v>
      </c>
      <c r="D1046" s="1026" t="s">
        <v>22</v>
      </c>
      <c r="E1046" s="1026" t="s">
        <v>22</v>
      </c>
      <c r="F1046" s="1026">
        <v>2</v>
      </c>
      <c r="G1046" s="1026">
        <v>2495000</v>
      </c>
      <c r="H1046" s="1026">
        <f t="shared" si="141"/>
        <v>4990000</v>
      </c>
      <c r="I1046" s="896">
        <v>2</v>
      </c>
      <c r="J1046" s="897">
        <v>2500000</v>
      </c>
      <c r="K1046" s="692">
        <f t="shared" si="145"/>
        <v>5000000</v>
      </c>
      <c r="L1046" s="692">
        <f t="shared" si="142"/>
        <v>5000</v>
      </c>
      <c r="M1046" s="1026" t="s">
        <v>1994</v>
      </c>
      <c r="N1046" s="1025" t="s">
        <v>2002</v>
      </c>
      <c r="O1046" s="1026">
        <v>1</v>
      </c>
      <c r="P1046" s="403" t="s">
        <v>1963</v>
      </c>
      <c r="Q1046" s="2084">
        <f t="shared" si="146"/>
        <v>1</v>
      </c>
      <c r="R1046" s="2332">
        <f t="shared" si="147"/>
        <v>2</v>
      </c>
      <c r="S1046" s="2086"/>
      <c r="T1046" s="2086"/>
      <c r="U1046" s="2086"/>
      <c r="V1046" s="2086"/>
      <c r="W1046" s="2087"/>
      <c r="X1046" s="2088"/>
      <c r="Y1046" s="2089"/>
      <c r="Z1046" s="2085"/>
      <c r="AA1046" s="2085"/>
      <c r="AB1046" s="2085"/>
      <c r="AC1046" s="2085"/>
      <c r="AD1046" s="2085"/>
      <c r="AE1046" s="2089"/>
    </row>
    <row r="1047" spans="1:31" s="74" customFormat="1" ht="15">
      <c r="A1047" s="1028">
        <v>743</v>
      </c>
      <c r="B1047" s="1028">
        <v>16</v>
      </c>
      <c r="C1047" s="1027" t="s">
        <v>2003</v>
      </c>
      <c r="D1047" s="1027" t="s">
        <v>22</v>
      </c>
      <c r="E1047" s="1027" t="s">
        <v>22</v>
      </c>
      <c r="F1047" s="1027">
        <v>2</v>
      </c>
      <c r="G1047" s="1027">
        <v>3500000</v>
      </c>
      <c r="H1047" s="1027">
        <f t="shared" si="141"/>
        <v>7000000</v>
      </c>
      <c r="I1047" s="896">
        <v>2</v>
      </c>
      <c r="J1047" s="897">
        <v>3500000</v>
      </c>
      <c r="K1047" s="692">
        <f t="shared" si="145"/>
        <v>7000000</v>
      </c>
      <c r="L1047" s="692">
        <f t="shared" si="142"/>
        <v>0</v>
      </c>
      <c r="M1047" s="1027" t="s">
        <v>1999</v>
      </c>
      <c r="N1047" s="1028" t="s">
        <v>2004</v>
      </c>
      <c r="O1047" s="1027">
        <v>1</v>
      </c>
      <c r="P1047" s="403" t="s">
        <v>1963</v>
      </c>
      <c r="Q1047" s="2084">
        <f t="shared" si="146"/>
        <v>1</v>
      </c>
      <c r="R1047" s="2332">
        <f t="shared" si="147"/>
        <v>2</v>
      </c>
      <c r="S1047" s="2086"/>
      <c r="T1047" s="2086"/>
      <c r="U1047" s="2086"/>
      <c r="V1047" s="2086"/>
      <c r="W1047" s="2087"/>
      <c r="X1047" s="2088"/>
      <c r="Y1047" s="2089"/>
      <c r="Z1047" s="2085"/>
      <c r="AA1047" s="2085"/>
      <c r="AB1047" s="2085"/>
      <c r="AC1047" s="2085"/>
      <c r="AD1047" s="2085"/>
      <c r="AE1047" s="2089"/>
    </row>
    <row r="1048" spans="1:31" s="74" customFormat="1" ht="15">
      <c r="A1048" s="1025">
        <v>744</v>
      </c>
      <c r="B1048" s="1025">
        <v>17</v>
      </c>
      <c r="C1048" s="1026" t="s">
        <v>2005</v>
      </c>
      <c r="D1048" s="1026" t="s">
        <v>22</v>
      </c>
      <c r="E1048" s="1026" t="s">
        <v>22</v>
      </c>
      <c r="F1048" s="1026">
        <v>2</v>
      </c>
      <c r="G1048" s="1026">
        <v>2500000</v>
      </c>
      <c r="H1048" s="1026">
        <f t="shared" si="141"/>
        <v>5000000</v>
      </c>
      <c r="I1048" s="896">
        <v>2</v>
      </c>
      <c r="J1048" s="897">
        <v>2500000</v>
      </c>
      <c r="K1048" s="692">
        <f t="shared" si="145"/>
        <v>5000000</v>
      </c>
      <c r="L1048" s="692">
        <f t="shared" si="142"/>
        <v>0</v>
      </c>
      <c r="M1048" s="1026" t="s">
        <v>1999</v>
      </c>
      <c r="N1048" s="1025" t="s">
        <v>2006</v>
      </c>
      <c r="O1048" s="1026">
        <v>1</v>
      </c>
      <c r="P1048" s="403" t="s">
        <v>1963</v>
      </c>
      <c r="Q1048" s="2084">
        <f t="shared" si="146"/>
        <v>1</v>
      </c>
      <c r="R1048" s="2332">
        <f t="shared" si="147"/>
        <v>2</v>
      </c>
      <c r="S1048" s="2086"/>
      <c r="T1048" s="2086"/>
      <c r="U1048" s="2086"/>
      <c r="V1048" s="2086"/>
      <c r="W1048" s="2087"/>
      <c r="X1048" s="2088"/>
      <c r="Y1048" s="2089"/>
      <c r="Z1048" s="2085"/>
      <c r="AA1048" s="2085"/>
      <c r="AB1048" s="2085"/>
      <c r="AC1048" s="2085"/>
      <c r="AD1048" s="2085"/>
      <c r="AE1048" s="2089"/>
    </row>
    <row r="1049" spans="1:31" s="74" customFormat="1" ht="15">
      <c r="A1049" s="1025">
        <v>745</v>
      </c>
      <c r="B1049" s="1025">
        <v>18</v>
      </c>
      <c r="C1049" s="1026" t="s">
        <v>2007</v>
      </c>
      <c r="D1049" s="1026" t="s">
        <v>22</v>
      </c>
      <c r="E1049" s="1026" t="s">
        <v>22</v>
      </c>
      <c r="F1049" s="1026">
        <v>2</v>
      </c>
      <c r="G1049" s="1026">
        <v>2975000</v>
      </c>
      <c r="H1049" s="1026">
        <f t="shared" si="141"/>
        <v>5950000</v>
      </c>
      <c r="I1049" s="896">
        <v>2</v>
      </c>
      <c r="J1049" s="897">
        <v>3000000</v>
      </c>
      <c r="K1049" s="692">
        <f t="shared" si="145"/>
        <v>6000000</v>
      </c>
      <c r="L1049" s="692">
        <f t="shared" si="142"/>
        <v>25000</v>
      </c>
      <c r="M1049" s="1026" t="s">
        <v>1994</v>
      </c>
      <c r="N1049" s="1025" t="s">
        <v>2008</v>
      </c>
      <c r="O1049" s="1027">
        <v>1</v>
      </c>
      <c r="P1049" s="403" t="s">
        <v>1963</v>
      </c>
      <c r="Q1049" s="2084">
        <f t="shared" si="146"/>
        <v>1</v>
      </c>
      <c r="R1049" s="2332">
        <f t="shared" si="147"/>
        <v>2</v>
      </c>
      <c r="S1049" s="2086"/>
      <c r="T1049" s="2086"/>
      <c r="U1049" s="2086"/>
      <c r="V1049" s="2086"/>
      <c r="W1049" s="2087"/>
      <c r="X1049" s="2088"/>
      <c r="Y1049" s="2089"/>
      <c r="Z1049" s="2085"/>
      <c r="AA1049" s="2085"/>
      <c r="AB1049" s="2085"/>
      <c r="AC1049" s="2085"/>
      <c r="AD1049" s="2085"/>
      <c r="AE1049" s="2089"/>
    </row>
    <row r="1050" spans="1:31" s="74" customFormat="1" ht="15">
      <c r="A1050" s="1025">
        <v>746</v>
      </c>
      <c r="B1050" s="1025">
        <v>19</v>
      </c>
      <c r="C1050" s="1026" t="s">
        <v>2009</v>
      </c>
      <c r="D1050" s="1026" t="s">
        <v>22</v>
      </c>
      <c r="E1050" s="1026" t="s">
        <v>22</v>
      </c>
      <c r="F1050" s="1026">
        <v>2</v>
      </c>
      <c r="G1050" s="1026">
        <v>2500000</v>
      </c>
      <c r="H1050" s="1026">
        <f t="shared" si="141"/>
        <v>5000000</v>
      </c>
      <c r="I1050" s="896">
        <v>2</v>
      </c>
      <c r="J1050" s="897">
        <v>2500000</v>
      </c>
      <c r="K1050" s="692">
        <f t="shared" si="145"/>
        <v>5000000</v>
      </c>
      <c r="L1050" s="692">
        <f t="shared" si="142"/>
        <v>0</v>
      </c>
      <c r="M1050" s="1026" t="s">
        <v>1999</v>
      </c>
      <c r="N1050" s="1025" t="s">
        <v>2010</v>
      </c>
      <c r="O1050" s="1026">
        <v>1</v>
      </c>
      <c r="P1050" s="403" t="s">
        <v>1963</v>
      </c>
      <c r="Q1050" s="2084">
        <f t="shared" si="146"/>
        <v>1</v>
      </c>
      <c r="R1050" s="2332">
        <f t="shared" si="147"/>
        <v>2</v>
      </c>
      <c r="S1050" s="2086"/>
      <c r="T1050" s="2086"/>
      <c r="U1050" s="2086"/>
      <c r="V1050" s="2086"/>
      <c r="W1050" s="2087"/>
      <c r="X1050" s="2088"/>
      <c r="Y1050" s="2089"/>
      <c r="Z1050" s="2085"/>
      <c r="AA1050" s="2085"/>
      <c r="AB1050" s="2085"/>
      <c r="AC1050" s="2085"/>
      <c r="AD1050" s="2085"/>
      <c r="AE1050" s="2089"/>
    </row>
    <row r="1051" spans="1:31" s="74" customFormat="1" ht="15">
      <c r="A1051" s="1025">
        <v>747</v>
      </c>
      <c r="B1051" s="1025">
        <v>20</v>
      </c>
      <c r="C1051" s="1026" t="s">
        <v>2011</v>
      </c>
      <c r="D1051" s="1026" t="s">
        <v>22</v>
      </c>
      <c r="E1051" s="1026" t="s">
        <v>22</v>
      </c>
      <c r="F1051" s="1026">
        <v>2</v>
      </c>
      <c r="G1051" s="1026">
        <v>2500000</v>
      </c>
      <c r="H1051" s="1026">
        <f t="shared" si="141"/>
        <v>5000000</v>
      </c>
      <c r="I1051" s="896">
        <v>2</v>
      </c>
      <c r="J1051" s="897">
        <v>2500000</v>
      </c>
      <c r="K1051" s="692">
        <f t="shared" si="145"/>
        <v>5000000</v>
      </c>
      <c r="L1051" s="692">
        <f t="shared" si="142"/>
        <v>0</v>
      </c>
      <c r="M1051" s="1026" t="s">
        <v>1999</v>
      </c>
      <c r="N1051" s="1025" t="s">
        <v>2012</v>
      </c>
      <c r="O1051" s="1026">
        <v>1</v>
      </c>
      <c r="P1051" s="403" t="s">
        <v>1963</v>
      </c>
      <c r="Q1051" s="2084">
        <f t="shared" si="146"/>
        <v>1</v>
      </c>
      <c r="R1051" s="2332">
        <f t="shared" si="147"/>
        <v>2</v>
      </c>
      <c r="S1051" s="2086"/>
      <c r="T1051" s="2086"/>
      <c r="U1051" s="2086"/>
      <c r="V1051" s="2086"/>
      <c r="W1051" s="2087"/>
      <c r="X1051" s="2088"/>
      <c r="Y1051" s="2089"/>
      <c r="Z1051" s="2085"/>
      <c r="AA1051" s="2085"/>
      <c r="AB1051" s="2085"/>
      <c r="AC1051" s="2085"/>
      <c r="AD1051" s="2085"/>
      <c r="AE1051" s="2089"/>
    </row>
    <row r="1052" spans="1:31" s="74" customFormat="1" ht="18">
      <c r="A1052" s="1025">
        <v>748</v>
      </c>
      <c r="B1052" s="1025">
        <v>21</v>
      </c>
      <c r="C1052" s="1026" t="s">
        <v>2013</v>
      </c>
      <c r="D1052" s="1026" t="s">
        <v>22</v>
      </c>
      <c r="E1052" s="1026" t="s">
        <v>22</v>
      </c>
      <c r="F1052" s="1026">
        <v>2</v>
      </c>
      <c r="G1052" s="1026">
        <v>3485000</v>
      </c>
      <c r="H1052" s="1026">
        <f t="shared" si="141"/>
        <v>6970000</v>
      </c>
      <c r="I1052" s="896">
        <v>2</v>
      </c>
      <c r="J1052" s="897">
        <v>3500000</v>
      </c>
      <c r="K1052" s="692">
        <f t="shared" si="145"/>
        <v>7000000</v>
      </c>
      <c r="L1052" s="692">
        <f t="shared" si="142"/>
        <v>15000</v>
      </c>
      <c r="M1052" s="1026" t="s">
        <v>1999</v>
      </c>
      <c r="N1052" s="1025" t="s">
        <v>2014</v>
      </c>
      <c r="O1052" s="1026">
        <v>1</v>
      </c>
      <c r="P1052" s="403" t="s">
        <v>1963</v>
      </c>
      <c r="Q1052" s="2084">
        <f t="shared" si="146"/>
        <v>1</v>
      </c>
      <c r="R1052" s="2332">
        <f t="shared" si="147"/>
        <v>2</v>
      </c>
      <c r="S1052" s="2086"/>
      <c r="T1052" s="2086"/>
      <c r="U1052" s="2086"/>
      <c r="V1052" s="2086"/>
      <c r="W1052" s="2087"/>
      <c r="X1052" s="2088"/>
      <c r="Y1052" s="2089"/>
      <c r="Z1052" s="2085"/>
      <c r="AA1052" s="2085"/>
      <c r="AB1052" s="2085"/>
      <c r="AC1052" s="2085"/>
      <c r="AD1052" s="2085"/>
      <c r="AE1052" s="2089"/>
    </row>
    <row r="1053" spans="1:31" s="74" customFormat="1" ht="27">
      <c r="A1053" s="1025">
        <v>749</v>
      </c>
      <c r="B1053" s="1025">
        <v>22</v>
      </c>
      <c r="C1053" s="1026" t="s">
        <v>2015</v>
      </c>
      <c r="D1053" s="1026" t="s">
        <v>22</v>
      </c>
      <c r="E1053" s="1026" t="s">
        <v>22</v>
      </c>
      <c r="F1053" s="1026">
        <v>10</v>
      </c>
      <c r="G1053" s="1026">
        <v>495000</v>
      </c>
      <c r="H1053" s="1026">
        <f t="shared" si="141"/>
        <v>4950000</v>
      </c>
      <c r="I1053" s="896">
        <v>10</v>
      </c>
      <c r="J1053" s="897">
        <v>500000</v>
      </c>
      <c r="K1053" s="692">
        <f t="shared" si="145"/>
        <v>5000000</v>
      </c>
      <c r="L1053" s="692">
        <f t="shared" si="142"/>
        <v>5000</v>
      </c>
      <c r="M1053" s="1026" t="s">
        <v>1967</v>
      </c>
      <c r="N1053" s="1025" t="s">
        <v>2016</v>
      </c>
      <c r="O1053" s="1026">
        <v>1</v>
      </c>
      <c r="P1053" s="403" t="s">
        <v>1963</v>
      </c>
      <c r="Q1053" s="2084">
        <f t="shared" si="146"/>
        <v>1</v>
      </c>
      <c r="R1053" s="2332">
        <f t="shared" si="147"/>
        <v>10</v>
      </c>
      <c r="S1053" s="2086"/>
      <c r="T1053" s="2086"/>
      <c r="U1053" s="2086"/>
      <c r="V1053" s="2086"/>
      <c r="W1053" s="2087"/>
      <c r="X1053" s="2088"/>
      <c r="Y1053" s="2089"/>
      <c r="Z1053" s="2085"/>
      <c r="AA1053" s="2085"/>
      <c r="AB1053" s="2085"/>
      <c r="AC1053" s="2085"/>
      <c r="AD1053" s="2085"/>
      <c r="AE1053" s="2089"/>
    </row>
    <row r="1054" spans="1:31" s="74" customFormat="1" ht="36">
      <c r="A1054" s="1025">
        <v>750</v>
      </c>
      <c r="B1054" s="1025">
        <v>23</v>
      </c>
      <c r="C1054" s="1026" t="s">
        <v>2017</v>
      </c>
      <c r="D1054" s="1026" t="s">
        <v>424</v>
      </c>
      <c r="E1054" s="1026" t="s">
        <v>424</v>
      </c>
      <c r="F1054" s="1026">
        <v>300</v>
      </c>
      <c r="G1054" s="1026">
        <v>24500</v>
      </c>
      <c r="H1054" s="1026">
        <f t="shared" si="141"/>
        <v>7350000</v>
      </c>
      <c r="I1054" s="896">
        <v>300</v>
      </c>
      <c r="J1054" s="897">
        <v>25000</v>
      </c>
      <c r="K1054" s="692">
        <f t="shared" si="145"/>
        <v>7500000</v>
      </c>
      <c r="L1054" s="692">
        <f t="shared" si="142"/>
        <v>500</v>
      </c>
      <c r="M1054" s="1026" t="s">
        <v>2018</v>
      </c>
      <c r="N1054" s="1025" t="s">
        <v>523</v>
      </c>
      <c r="O1054" s="1026">
        <v>1</v>
      </c>
      <c r="P1054" s="403" t="s">
        <v>1963</v>
      </c>
      <c r="Q1054" s="2084">
        <f t="shared" si="146"/>
        <v>1</v>
      </c>
      <c r="R1054" s="2332">
        <f t="shared" si="147"/>
        <v>300</v>
      </c>
      <c r="S1054" s="2086"/>
      <c r="T1054" s="2086"/>
      <c r="U1054" s="2086"/>
      <c r="V1054" s="2086"/>
      <c r="W1054" s="2087"/>
      <c r="X1054" s="2088"/>
      <c r="Y1054" s="2089"/>
      <c r="Z1054" s="2085"/>
      <c r="AA1054" s="2085"/>
      <c r="AB1054" s="2085"/>
      <c r="AC1054" s="2085"/>
      <c r="AD1054" s="2085"/>
      <c r="AE1054" s="2089"/>
    </row>
    <row r="1055" spans="1:31" s="74" customFormat="1" ht="45">
      <c r="A1055" s="1029">
        <v>751</v>
      </c>
      <c r="B1055" s="1029">
        <v>24</v>
      </c>
      <c r="C1055" s="1030" t="s">
        <v>2019</v>
      </c>
      <c r="D1055" s="1030" t="s">
        <v>22</v>
      </c>
      <c r="E1055" s="1030" t="s">
        <v>22</v>
      </c>
      <c r="F1055" s="1030">
        <v>5</v>
      </c>
      <c r="G1055" s="1030">
        <v>2475000</v>
      </c>
      <c r="H1055" s="1030">
        <f t="shared" si="141"/>
        <v>12375000</v>
      </c>
      <c r="I1055" s="976">
        <v>5</v>
      </c>
      <c r="J1055" s="977">
        <v>2500000</v>
      </c>
      <c r="K1055" s="738">
        <f t="shared" si="145"/>
        <v>12500000</v>
      </c>
      <c r="L1055" s="738">
        <f t="shared" si="142"/>
        <v>25000</v>
      </c>
      <c r="M1055" s="1030" t="s">
        <v>1973</v>
      </c>
      <c r="N1055" s="1029">
        <v>9700</v>
      </c>
      <c r="O1055" s="1030">
        <v>1</v>
      </c>
      <c r="P1055" s="786" t="s">
        <v>1963</v>
      </c>
      <c r="Q1055" s="2084">
        <f t="shared" si="146"/>
        <v>1</v>
      </c>
      <c r="R1055" s="2332">
        <f t="shared" si="147"/>
        <v>5</v>
      </c>
      <c r="S1055" s="2086"/>
      <c r="T1055" s="2086"/>
      <c r="U1055" s="2086"/>
      <c r="V1055" s="2086"/>
      <c r="W1055" s="2087"/>
      <c r="X1055" s="2088"/>
      <c r="Y1055" s="2089"/>
      <c r="Z1055" s="2085"/>
      <c r="AA1055" s="2085"/>
      <c r="AB1055" s="2085"/>
      <c r="AC1055" s="2085"/>
      <c r="AD1055" s="2085"/>
      <c r="AE1055" s="2089"/>
    </row>
    <row r="1056" spans="1:31" s="74" customFormat="1">
      <c r="A1056" s="1031"/>
      <c r="B1056" s="1031"/>
      <c r="C1056" s="2161" t="s">
        <v>2020</v>
      </c>
      <c r="D1056" s="2161"/>
      <c r="E1056" s="2161"/>
      <c r="F1056" s="2161"/>
      <c r="G1056" s="2161"/>
      <c r="H1056" s="2309">
        <f>SUM(H1032:H1055)</f>
        <v>574925000</v>
      </c>
      <c r="I1056" s="743"/>
      <c r="J1056" s="743"/>
      <c r="K1056" s="1032">
        <f>SUM(K1032:K1055)</f>
        <v>586840000</v>
      </c>
      <c r="L1056" s="743"/>
      <c r="M1056" s="1032"/>
      <c r="N1056" s="1032"/>
      <c r="O1056" s="1032"/>
      <c r="P1056" s="142"/>
      <c r="Q1056" s="115"/>
      <c r="R1056" s="1024"/>
      <c r="S1056" s="1024"/>
    </row>
    <row r="1057" spans="1:31" s="74" customFormat="1">
      <c r="A1057" s="1031"/>
      <c r="B1057" s="1031"/>
      <c r="C1057" s="2161" t="s">
        <v>2021</v>
      </c>
      <c r="D1057" s="2161"/>
      <c r="E1057" s="2161"/>
      <c r="F1057" s="2161"/>
      <c r="G1057" s="2161"/>
      <c r="H1057" s="2161"/>
      <c r="I1057" s="1032"/>
      <c r="J1057" s="1032"/>
      <c r="K1057" s="1032"/>
      <c r="L1057" s="743"/>
      <c r="M1057" s="142"/>
      <c r="N1057" s="142"/>
      <c r="O1057" s="142"/>
      <c r="P1057" s="142"/>
      <c r="Q1057" s="115"/>
      <c r="R1057" s="1024"/>
      <c r="S1057" s="1024"/>
    </row>
    <row r="1060" spans="1:31">
      <c r="A1060" s="71" t="s">
        <v>2022</v>
      </c>
    </row>
    <row r="1061" spans="1:31" s="12" customFormat="1" ht="15.6" customHeight="1">
      <c r="A1061" s="2092" t="s">
        <v>5</v>
      </c>
      <c r="B1061" s="2092" t="s">
        <v>6</v>
      </c>
      <c r="C1061" s="2094" t="s">
        <v>7</v>
      </c>
      <c r="D1061" s="2096" t="s">
        <v>8</v>
      </c>
      <c r="E1061" s="2092" t="s">
        <v>9</v>
      </c>
      <c r="F1061" s="2098" t="s">
        <v>10</v>
      </c>
      <c r="G1061" s="2098"/>
      <c r="H1061" s="2098"/>
      <c r="I1061" s="2098" t="s">
        <v>11</v>
      </c>
      <c r="J1061" s="2098"/>
      <c r="K1061" s="2098"/>
      <c r="L1061" s="2099" t="s">
        <v>12</v>
      </c>
      <c r="M1061" s="9"/>
      <c r="N1061" s="9"/>
      <c r="O1061" s="9"/>
      <c r="P1061" s="2101" t="s">
        <v>13</v>
      </c>
      <c r="Q1061" s="2265" t="s">
        <v>4740</v>
      </c>
      <c r="R1061" s="2319" t="s">
        <v>4754</v>
      </c>
      <c r="S1061" s="2267" t="s">
        <v>4767</v>
      </c>
      <c r="T1061" s="2268"/>
      <c r="U1061" s="2268"/>
      <c r="V1061" s="2268"/>
      <c r="W1061" s="2269"/>
      <c r="X1061" s="2267" t="s">
        <v>4768</v>
      </c>
      <c r="Y1061" s="2268"/>
      <c r="Z1061" s="2268"/>
      <c r="AA1061" s="2268"/>
      <c r="AB1061" s="2268"/>
      <c r="AC1061" s="2268"/>
      <c r="AD1061" s="2268"/>
      <c r="AE1061" s="2269"/>
    </row>
    <row r="1062" spans="1:31" s="16" customFormat="1" ht="42.6" customHeight="1">
      <c r="A1062" s="2093"/>
      <c r="B1062" s="2093"/>
      <c r="C1062" s="2095"/>
      <c r="D1062" s="2097"/>
      <c r="E1062" s="2093"/>
      <c r="F1062" s="13" t="s">
        <v>14</v>
      </c>
      <c r="G1062" s="13" t="s">
        <v>15</v>
      </c>
      <c r="H1062" s="13" t="s">
        <v>16</v>
      </c>
      <c r="I1062" s="13" t="s">
        <v>14</v>
      </c>
      <c r="J1062" s="13" t="s">
        <v>15</v>
      </c>
      <c r="K1062" s="13" t="s">
        <v>16</v>
      </c>
      <c r="L1062" s="2100"/>
      <c r="M1062" s="14" t="s">
        <v>17</v>
      </c>
      <c r="N1062" s="14" t="s">
        <v>18</v>
      </c>
      <c r="O1062" s="14" t="s">
        <v>19</v>
      </c>
      <c r="P1062" s="2102"/>
      <c r="Q1062" s="2266"/>
      <c r="R1062" s="2320"/>
      <c r="S1062" s="2263" t="s">
        <v>4755</v>
      </c>
      <c r="T1062" s="2263" t="s">
        <v>4756</v>
      </c>
      <c r="U1062" s="2263" t="s">
        <v>4757</v>
      </c>
      <c r="V1062" s="2263" t="s">
        <v>4758</v>
      </c>
      <c r="W1062" s="2263" t="s">
        <v>4759</v>
      </c>
      <c r="X1062" s="2264" t="s">
        <v>4760</v>
      </c>
      <c r="Y1062" s="2264" t="s">
        <v>4761</v>
      </c>
      <c r="Z1062" s="2264" t="s">
        <v>4762</v>
      </c>
      <c r="AA1062" s="2264" t="s">
        <v>4763</v>
      </c>
      <c r="AB1062" s="2264" t="s">
        <v>4764</v>
      </c>
      <c r="AC1062" s="2264" t="s">
        <v>4765</v>
      </c>
      <c r="AD1062" s="2264" t="s">
        <v>4766</v>
      </c>
      <c r="AE1062" s="2264" t="s">
        <v>4755</v>
      </c>
    </row>
    <row r="1063" spans="1:31" s="70" customFormat="1">
      <c r="A1063" s="331">
        <v>1</v>
      </c>
      <c r="B1063" s="331">
        <v>2</v>
      </c>
      <c r="C1063" s="63">
        <v>3</v>
      </c>
      <c r="D1063" s="331">
        <v>4</v>
      </c>
      <c r="E1063" s="331">
        <v>5</v>
      </c>
      <c r="F1063" s="57">
        <v>6</v>
      </c>
      <c r="G1063" s="57">
        <v>7</v>
      </c>
      <c r="H1063" s="331">
        <v>8</v>
      </c>
      <c r="I1063" s="331">
        <v>9</v>
      </c>
      <c r="J1063" s="331">
        <v>10</v>
      </c>
      <c r="K1063" s="331">
        <v>11</v>
      </c>
      <c r="L1063" s="331">
        <v>12</v>
      </c>
      <c r="M1063" s="331">
        <v>9</v>
      </c>
      <c r="N1063" s="331">
        <v>10</v>
      </c>
      <c r="O1063" s="331">
        <v>11</v>
      </c>
      <c r="P1063" s="21">
        <v>13</v>
      </c>
      <c r="Q1063" s="22"/>
      <c r="R1063" s="2321"/>
      <c r="S1063" s="485"/>
    </row>
    <row r="1064" spans="1:31" ht="27.6" customHeight="1">
      <c r="A1064" s="280">
        <v>752</v>
      </c>
      <c r="B1064" s="280">
        <v>1</v>
      </c>
      <c r="C1064" s="682" t="s">
        <v>2023</v>
      </c>
      <c r="D1064" s="682" t="s">
        <v>95</v>
      </c>
      <c r="E1064" s="682" t="s">
        <v>47</v>
      </c>
      <c r="F1064" s="890">
        <v>20</v>
      </c>
      <c r="G1064" s="682">
        <v>396000</v>
      </c>
      <c r="H1064" s="1033">
        <f>G1064*F1064</f>
        <v>7920000</v>
      </c>
      <c r="I1064" s="891">
        <v>20</v>
      </c>
      <c r="J1064" s="682">
        <v>400000</v>
      </c>
      <c r="K1064" s="682">
        <f>I1064*J1064</f>
        <v>8000000</v>
      </c>
      <c r="L1064" s="682">
        <f t="shared" ref="L1064:L1125" si="148">J1064-G1064</f>
        <v>4000</v>
      </c>
      <c r="M1064" s="280" t="s">
        <v>622</v>
      </c>
      <c r="N1064" s="280"/>
      <c r="O1064" s="280"/>
      <c r="P1064" s="400" t="s">
        <v>2024</v>
      </c>
      <c r="Q1064" s="2084">
        <f t="shared" ref="Q1064" si="149">R1064/F1064</f>
        <v>1</v>
      </c>
      <c r="R1064" s="2332">
        <f t="shared" ref="R1064" si="150">+F1064-(S1064+T1064+U1064+W1064+X1064+Y1064+Z1064+AA1064+AB1064+AC1064+AD1064+AE1064)</f>
        <v>20</v>
      </c>
      <c r="S1064" s="2086"/>
      <c r="T1064" s="2086"/>
      <c r="U1064" s="2086"/>
      <c r="V1064" s="2086"/>
      <c r="W1064" s="2087"/>
      <c r="X1064" s="2088"/>
      <c r="Y1064" s="2089"/>
      <c r="Z1064" s="2085"/>
      <c r="AA1064" s="2085"/>
      <c r="AB1064" s="2085"/>
      <c r="AC1064" s="2085"/>
      <c r="AD1064" s="2085"/>
      <c r="AE1064" s="2089"/>
    </row>
    <row r="1065" spans="1:31" ht="27.6" customHeight="1">
      <c r="A1065" s="289">
        <v>753</v>
      </c>
      <c r="B1065" s="289">
        <v>2</v>
      </c>
      <c r="C1065" s="692" t="s">
        <v>2025</v>
      </c>
      <c r="D1065" s="692" t="s">
        <v>95</v>
      </c>
      <c r="E1065" s="692" t="s">
        <v>47</v>
      </c>
      <c r="F1065" s="895">
        <v>50</v>
      </c>
      <c r="G1065" s="692">
        <v>196000</v>
      </c>
      <c r="H1065" s="1034">
        <f t="shared" ref="H1065:H1125" si="151">G1065*F1065</f>
        <v>9800000</v>
      </c>
      <c r="I1065" s="896">
        <v>50</v>
      </c>
      <c r="J1065" s="692">
        <v>200000</v>
      </c>
      <c r="K1065" s="692">
        <f t="shared" ref="K1065:K1125" si="152">I1065*J1065</f>
        <v>10000000</v>
      </c>
      <c r="L1065" s="692">
        <f t="shared" si="148"/>
        <v>4000</v>
      </c>
      <c r="M1065" s="289" t="s">
        <v>1134</v>
      </c>
      <c r="N1065" s="289"/>
      <c r="O1065" s="289"/>
      <c r="P1065" s="403" t="s">
        <v>2024</v>
      </c>
      <c r="Q1065" s="2084">
        <f t="shared" ref="Q1065:Q1125" si="153">R1065/F1065</f>
        <v>1</v>
      </c>
      <c r="R1065" s="2332">
        <f t="shared" ref="R1065:R1125" si="154">+F1065-(S1065+T1065+U1065+W1065+X1065+Y1065+Z1065+AA1065+AB1065+AC1065+AD1065+AE1065)</f>
        <v>50</v>
      </c>
      <c r="S1065" s="2086"/>
      <c r="T1065" s="2086"/>
      <c r="U1065" s="2086"/>
      <c r="V1065" s="2086"/>
      <c r="W1065" s="2087"/>
      <c r="X1065" s="2088"/>
      <c r="Y1065" s="2089"/>
      <c r="Z1065" s="2085"/>
      <c r="AA1065" s="2085"/>
      <c r="AB1065" s="2085"/>
      <c r="AC1065" s="2085"/>
      <c r="AD1065" s="2085"/>
      <c r="AE1065" s="2089"/>
    </row>
    <row r="1066" spans="1:31" ht="27.6" customHeight="1">
      <c r="A1066" s="289">
        <v>754</v>
      </c>
      <c r="B1066" s="289">
        <v>3</v>
      </c>
      <c r="C1066" s="692" t="s">
        <v>2026</v>
      </c>
      <c r="D1066" s="692" t="s">
        <v>539</v>
      </c>
      <c r="E1066" s="692" t="s">
        <v>47</v>
      </c>
      <c r="F1066" s="895">
        <v>10</v>
      </c>
      <c r="G1066" s="692">
        <v>546000</v>
      </c>
      <c r="H1066" s="1034">
        <f t="shared" si="151"/>
        <v>5460000</v>
      </c>
      <c r="I1066" s="896">
        <v>10</v>
      </c>
      <c r="J1066" s="692">
        <v>550000</v>
      </c>
      <c r="K1066" s="692">
        <f t="shared" si="152"/>
        <v>5500000</v>
      </c>
      <c r="L1066" s="692">
        <f t="shared" si="148"/>
        <v>4000</v>
      </c>
      <c r="M1066" s="289" t="s">
        <v>622</v>
      </c>
      <c r="N1066" s="289"/>
      <c r="O1066" s="289"/>
      <c r="P1066" s="403" t="s">
        <v>2024</v>
      </c>
      <c r="Q1066" s="2084">
        <f t="shared" si="153"/>
        <v>1</v>
      </c>
      <c r="R1066" s="2332">
        <f t="shared" si="154"/>
        <v>10</v>
      </c>
      <c r="S1066" s="2086"/>
      <c r="T1066" s="2086"/>
      <c r="U1066" s="2086"/>
      <c r="V1066" s="2086"/>
      <c r="W1066" s="2087"/>
      <c r="X1066" s="2088"/>
      <c r="Y1066" s="2089"/>
      <c r="Z1066" s="2085"/>
      <c r="AA1066" s="2085"/>
      <c r="AB1066" s="2085"/>
      <c r="AC1066" s="2085"/>
      <c r="AD1066" s="2085"/>
      <c r="AE1066" s="2089"/>
    </row>
    <row r="1067" spans="1:31" s="73" customFormat="1" ht="27.6" customHeight="1">
      <c r="A1067" s="289">
        <v>755</v>
      </c>
      <c r="B1067" s="289">
        <v>4</v>
      </c>
      <c r="C1067" s="692" t="s">
        <v>2027</v>
      </c>
      <c r="D1067" s="692" t="s">
        <v>192</v>
      </c>
      <c r="E1067" s="692" t="s">
        <v>192</v>
      </c>
      <c r="F1067" s="895">
        <v>2</v>
      </c>
      <c r="G1067" s="692">
        <v>2226000</v>
      </c>
      <c r="H1067" s="1034">
        <f t="shared" si="151"/>
        <v>4452000</v>
      </c>
      <c r="I1067" s="896">
        <v>2</v>
      </c>
      <c r="J1067" s="692">
        <v>2230000</v>
      </c>
      <c r="K1067" s="692">
        <f t="shared" si="152"/>
        <v>4460000</v>
      </c>
      <c r="L1067" s="692">
        <f t="shared" si="148"/>
        <v>4000</v>
      </c>
      <c r="M1067" s="289" t="s">
        <v>2028</v>
      </c>
      <c r="N1067" s="289"/>
      <c r="O1067" s="289" t="s">
        <v>2029</v>
      </c>
      <c r="P1067" s="403" t="s">
        <v>2024</v>
      </c>
      <c r="Q1067" s="2084">
        <f t="shared" si="153"/>
        <v>1</v>
      </c>
      <c r="R1067" s="2332">
        <f t="shared" si="154"/>
        <v>2</v>
      </c>
      <c r="S1067" s="2086"/>
      <c r="T1067" s="2086"/>
      <c r="U1067" s="2086"/>
      <c r="V1067" s="2086"/>
      <c r="W1067" s="2087"/>
      <c r="X1067" s="2088"/>
      <c r="Y1067" s="2089"/>
      <c r="Z1067" s="2085"/>
      <c r="AA1067" s="2085"/>
      <c r="AB1067" s="2085"/>
      <c r="AC1067" s="2085"/>
      <c r="AD1067" s="2085"/>
      <c r="AE1067" s="2089"/>
    </row>
    <row r="1068" spans="1:31" s="73" customFormat="1" ht="27.6" customHeight="1">
      <c r="A1068" s="289">
        <v>756</v>
      </c>
      <c r="B1068" s="289">
        <v>5</v>
      </c>
      <c r="C1068" s="692" t="s">
        <v>2030</v>
      </c>
      <c r="D1068" s="692" t="s">
        <v>192</v>
      </c>
      <c r="E1068" s="692" t="s">
        <v>192</v>
      </c>
      <c r="F1068" s="895">
        <v>2</v>
      </c>
      <c r="G1068" s="692">
        <v>2460000</v>
      </c>
      <c r="H1068" s="1034">
        <f t="shared" si="151"/>
        <v>4920000</v>
      </c>
      <c r="I1068" s="896">
        <v>2</v>
      </c>
      <c r="J1068" s="692">
        <v>2500000</v>
      </c>
      <c r="K1068" s="692">
        <f t="shared" si="152"/>
        <v>5000000</v>
      </c>
      <c r="L1068" s="692">
        <f t="shared" si="148"/>
        <v>40000</v>
      </c>
      <c r="M1068" s="289" t="s">
        <v>622</v>
      </c>
      <c r="N1068" s="289"/>
      <c r="O1068" s="289" t="s">
        <v>2029</v>
      </c>
      <c r="P1068" s="403" t="s">
        <v>2024</v>
      </c>
      <c r="Q1068" s="2084">
        <f t="shared" si="153"/>
        <v>1</v>
      </c>
      <c r="R1068" s="2332">
        <f t="shared" si="154"/>
        <v>2</v>
      </c>
      <c r="S1068" s="2086"/>
      <c r="T1068" s="2086"/>
      <c r="U1068" s="2086"/>
      <c r="V1068" s="2086"/>
      <c r="W1068" s="2087"/>
      <c r="X1068" s="2088"/>
      <c r="Y1068" s="2089"/>
      <c r="Z1068" s="2085"/>
      <c r="AA1068" s="2085"/>
      <c r="AB1068" s="2085"/>
      <c r="AC1068" s="2085"/>
      <c r="AD1068" s="2085"/>
      <c r="AE1068" s="2089"/>
    </row>
    <row r="1069" spans="1:31" s="73" customFormat="1" ht="27.6" customHeight="1">
      <c r="A1069" s="289">
        <v>757</v>
      </c>
      <c r="B1069" s="289">
        <v>6</v>
      </c>
      <c r="C1069" s="692" t="s">
        <v>2031</v>
      </c>
      <c r="D1069" s="692" t="s">
        <v>47</v>
      </c>
      <c r="E1069" s="692" t="s">
        <v>47</v>
      </c>
      <c r="F1069" s="895">
        <v>20</v>
      </c>
      <c r="G1069" s="692">
        <v>320000</v>
      </c>
      <c r="H1069" s="1034">
        <f t="shared" si="151"/>
        <v>6400000</v>
      </c>
      <c r="I1069" s="896">
        <v>20</v>
      </c>
      <c r="J1069" s="692">
        <v>325000</v>
      </c>
      <c r="K1069" s="692">
        <f t="shared" si="152"/>
        <v>6500000</v>
      </c>
      <c r="L1069" s="692">
        <f t="shared" si="148"/>
        <v>5000</v>
      </c>
      <c r="M1069" s="289" t="s">
        <v>261</v>
      </c>
      <c r="N1069" s="289"/>
      <c r="O1069" s="289"/>
      <c r="P1069" s="403" t="s">
        <v>2024</v>
      </c>
      <c r="Q1069" s="2084">
        <f t="shared" si="153"/>
        <v>1</v>
      </c>
      <c r="R1069" s="2332">
        <f t="shared" si="154"/>
        <v>20</v>
      </c>
      <c r="S1069" s="2086"/>
      <c r="T1069" s="2086"/>
      <c r="U1069" s="2086"/>
      <c r="V1069" s="2086"/>
      <c r="W1069" s="2087"/>
      <c r="X1069" s="2088"/>
      <c r="Y1069" s="2089"/>
      <c r="Z1069" s="2085"/>
      <c r="AA1069" s="2085"/>
      <c r="AB1069" s="2085"/>
      <c r="AC1069" s="2085"/>
      <c r="AD1069" s="2085"/>
      <c r="AE1069" s="2089"/>
    </row>
    <row r="1070" spans="1:31" s="73" customFormat="1" ht="27.6" customHeight="1">
      <c r="A1070" s="289">
        <v>758</v>
      </c>
      <c r="B1070" s="289">
        <v>7</v>
      </c>
      <c r="C1070" s="692" t="s">
        <v>2032</v>
      </c>
      <c r="D1070" s="692" t="s">
        <v>2033</v>
      </c>
      <c r="E1070" s="692" t="s">
        <v>2033</v>
      </c>
      <c r="F1070" s="895">
        <v>1000</v>
      </c>
      <c r="G1070" s="692">
        <v>17500</v>
      </c>
      <c r="H1070" s="1034">
        <f t="shared" si="151"/>
        <v>17500000</v>
      </c>
      <c r="I1070" s="896">
        <v>1000</v>
      </c>
      <c r="J1070" s="692">
        <v>18000</v>
      </c>
      <c r="K1070" s="692">
        <f t="shared" si="152"/>
        <v>18000000</v>
      </c>
      <c r="L1070" s="692">
        <f t="shared" si="148"/>
        <v>500</v>
      </c>
      <c r="M1070" s="289" t="s">
        <v>261</v>
      </c>
      <c r="N1070" s="289"/>
      <c r="O1070" s="289"/>
      <c r="P1070" s="403" t="s">
        <v>2024</v>
      </c>
      <c r="Q1070" s="2084">
        <f t="shared" si="153"/>
        <v>1</v>
      </c>
      <c r="R1070" s="2332">
        <f t="shared" si="154"/>
        <v>1000</v>
      </c>
      <c r="S1070" s="2086"/>
      <c r="T1070" s="2086"/>
      <c r="U1070" s="2086"/>
      <c r="V1070" s="2086"/>
      <c r="W1070" s="2087"/>
      <c r="X1070" s="2088"/>
      <c r="Y1070" s="2089"/>
      <c r="Z1070" s="2085"/>
      <c r="AA1070" s="2085"/>
      <c r="AB1070" s="2085"/>
      <c r="AC1070" s="2085"/>
      <c r="AD1070" s="2085"/>
      <c r="AE1070" s="2089"/>
    </row>
    <row r="1071" spans="1:31" s="73" customFormat="1" ht="27.6" customHeight="1">
      <c r="A1071" s="289">
        <v>759</v>
      </c>
      <c r="B1071" s="289">
        <v>8</v>
      </c>
      <c r="C1071" s="692" t="s">
        <v>2034</v>
      </c>
      <c r="D1071" s="692" t="s">
        <v>47</v>
      </c>
      <c r="E1071" s="692" t="s">
        <v>47</v>
      </c>
      <c r="F1071" s="895">
        <v>50</v>
      </c>
      <c r="G1071" s="692">
        <v>166000</v>
      </c>
      <c r="H1071" s="1034">
        <f t="shared" si="151"/>
        <v>8300000</v>
      </c>
      <c r="I1071" s="896">
        <v>50</v>
      </c>
      <c r="J1071" s="692">
        <v>170000</v>
      </c>
      <c r="K1071" s="692">
        <f t="shared" si="152"/>
        <v>8500000</v>
      </c>
      <c r="L1071" s="692">
        <f t="shared" si="148"/>
        <v>4000</v>
      </c>
      <c r="M1071" s="289" t="s">
        <v>261</v>
      </c>
      <c r="N1071" s="289"/>
      <c r="O1071" s="289"/>
      <c r="P1071" s="403" t="s">
        <v>2024</v>
      </c>
      <c r="Q1071" s="2084">
        <f t="shared" si="153"/>
        <v>1</v>
      </c>
      <c r="R1071" s="2332">
        <f t="shared" si="154"/>
        <v>50</v>
      </c>
      <c r="S1071" s="2086"/>
      <c r="T1071" s="2086"/>
      <c r="U1071" s="2086"/>
      <c r="V1071" s="2086"/>
      <c r="W1071" s="2087"/>
      <c r="X1071" s="2088"/>
      <c r="Y1071" s="2089"/>
      <c r="Z1071" s="2085"/>
      <c r="AA1071" s="2085"/>
      <c r="AB1071" s="2085"/>
      <c r="AC1071" s="2085"/>
      <c r="AD1071" s="2085"/>
      <c r="AE1071" s="2089"/>
    </row>
    <row r="1072" spans="1:31" s="73" customFormat="1" ht="27.6" customHeight="1">
      <c r="A1072" s="289">
        <v>760</v>
      </c>
      <c r="B1072" s="289">
        <v>9</v>
      </c>
      <c r="C1072" s="692" t="s">
        <v>2035</v>
      </c>
      <c r="D1072" s="692" t="s">
        <v>539</v>
      </c>
      <c r="E1072" s="692" t="s">
        <v>47</v>
      </c>
      <c r="F1072" s="895">
        <v>10</v>
      </c>
      <c r="G1072" s="692">
        <v>1860000</v>
      </c>
      <c r="H1072" s="1034">
        <f t="shared" si="151"/>
        <v>18600000</v>
      </c>
      <c r="I1072" s="896">
        <v>10</v>
      </c>
      <c r="J1072" s="692">
        <v>1900000</v>
      </c>
      <c r="K1072" s="692">
        <f t="shared" si="152"/>
        <v>19000000</v>
      </c>
      <c r="L1072" s="692">
        <f t="shared" si="148"/>
        <v>40000</v>
      </c>
      <c r="M1072" s="289" t="s">
        <v>261</v>
      </c>
      <c r="N1072" s="289"/>
      <c r="O1072" s="289"/>
      <c r="P1072" s="403" t="s">
        <v>2024</v>
      </c>
      <c r="Q1072" s="2084">
        <f t="shared" si="153"/>
        <v>1</v>
      </c>
      <c r="R1072" s="2332">
        <f t="shared" si="154"/>
        <v>10</v>
      </c>
      <c r="S1072" s="2086"/>
      <c r="T1072" s="2086"/>
      <c r="U1072" s="2086"/>
      <c r="V1072" s="2086"/>
      <c r="W1072" s="2087"/>
      <c r="X1072" s="2088"/>
      <c r="Y1072" s="2089"/>
      <c r="Z1072" s="2085"/>
      <c r="AA1072" s="2085"/>
      <c r="AB1072" s="2085"/>
      <c r="AC1072" s="2085"/>
      <c r="AD1072" s="2085"/>
      <c r="AE1072" s="2089"/>
    </row>
    <row r="1073" spans="1:31" s="73" customFormat="1" ht="27.6" customHeight="1">
      <c r="A1073" s="289">
        <v>761</v>
      </c>
      <c r="B1073" s="289">
        <v>10</v>
      </c>
      <c r="C1073" s="692" t="s">
        <v>2036</v>
      </c>
      <c r="D1073" s="692" t="s">
        <v>1208</v>
      </c>
      <c r="E1073" s="692" t="s">
        <v>47</v>
      </c>
      <c r="F1073" s="895">
        <v>200</v>
      </c>
      <c r="G1073" s="692">
        <v>28000</v>
      </c>
      <c r="H1073" s="1034">
        <f t="shared" si="151"/>
        <v>5600000</v>
      </c>
      <c r="I1073" s="896">
        <v>200</v>
      </c>
      <c r="J1073" s="692">
        <v>30000</v>
      </c>
      <c r="K1073" s="692">
        <f t="shared" si="152"/>
        <v>6000000</v>
      </c>
      <c r="L1073" s="692">
        <f t="shared" si="148"/>
        <v>2000</v>
      </c>
      <c r="M1073" s="289" t="s">
        <v>261</v>
      </c>
      <c r="N1073" s="289"/>
      <c r="O1073" s="289"/>
      <c r="P1073" s="403" t="s">
        <v>2024</v>
      </c>
      <c r="Q1073" s="2084">
        <f t="shared" si="153"/>
        <v>1</v>
      </c>
      <c r="R1073" s="2332">
        <f t="shared" si="154"/>
        <v>200</v>
      </c>
      <c r="S1073" s="2086"/>
      <c r="T1073" s="2086"/>
      <c r="U1073" s="2086"/>
      <c r="V1073" s="2086"/>
      <c r="W1073" s="2087"/>
      <c r="X1073" s="2088"/>
      <c r="Y1073" s="2089"/>
      <c r="Z1073" s="2085"/>
      <c r="AA1073" s="2085"/>
      <c r="AB1073" s="2085"/>
      <c r="AC1073" s="2085"/>
      <c r="AD1073" s="2085"/>
      <c r="AE1073" s="2089"/>
    </row>
    <row r="1074" spans="1:31" s="73" customFormat="1" ht="27.6" customHeight="1">
      <c r="A1074" s="289">
        <v>762</v>
      </c>
      <c r="B1074" s="289">
        <v>11</v>
      </c>
      <c r="C1074" s="692" t="s">
        <v>2037</v>
      </c>
      <c r="D1074" s="692" t="s">
        <v>539</v>
      </c>
      <c r="E1074" s="692" t="s">
        <v>47</v>
      </c>
      <c r="F1074" s="895">
        <v>15</v>
      </c>
      <c r="G1074" s="692">
        <v>1736000</v>
      </c>
      <c r="H1074" s="1034">
        <f t="shared" si="151"/>
        <v>26040000</v>
      </c>
      <c r="I1074" s="896">
        <v>15</v>
      </c>
      <c r="J1074" s="692">
        <v>1750000</v>
      </c>
      <c r="K1074" s="692">
        <f t="shared" si="152"/>
        <v>26250000</v>
      </c>
      <c r="L1074" s="692">
        <f t="shared" si="148"/>
        <v>14000</v>
      </c>
      <c r="M1074" s="289" t="s">
        <v>622</v>
      </c>
      <c r="N1074" s="289"/>
      <c r="O1074" s="289"/>
      <c r="P1074" s="403" t="s">
        <v>2024</v>
      </c>
      <c r="Q1074" s="2084">
        <f t="shared" si="153"/>
        <v>1</v>
      </c>
      <c r="R1074" s="2332">
        <f t="shared" si="154"/>
        <v>15</v>
      </c>
      <c r="S1074" s="2086"/>
      <c r="T1074" s="2086"/>
      <c r="U1074" s="2086"/>
      <c r="V1074" s="2086"/>
      <c r="W1074" s="2087"/>
      <c r="X1074" s="2088"/>
      <c r="Y1074" s="2089"/>
      <c r="Z1074" s="2085"/>
      <c r="AA1074" s="2085"/>
      <c r="AB1074" s="2085"/>
      <c r="AC1074" s="2085"/>
      <c r="AD1074" s="2085"/>
      <c r="AE1074" s="2089"/>
    </row>
    <row r="1075" spans="1:31" s="73" customFormat="1" ht="27.6" customHeight="1">
      <c r="A1075" s="289">
        <v>763</v>
      </c>
      <c r="B1075" s="289">
        <v>12</v>
      </c>
      <c r="C1075" s="692" t="s">
        <v>2038</v>
      </c>
      <c r="D1075" s="692" t="s">
        <v>47</v>
      </c>
      <c r="E1075" s="692" t="s">
        <v>47</v>
      </c>
      <c r="F1075" s="895">
        <v>5</v>
      </c>
      <c r="G1075" s="692">
        <v>736000</v>
      </c>
      <c r="H1075" s="1034">
        <f t="shared" si="151"/>
        <v>3680000</v>
      </c>
      <c r="I1075" s="896">
        <v>5</v>
      </c>
      <c r="J1075" s="692">
        <v>750000</v>
      </c>
      <c r="K1075" s="692">
        <f t="shared" si="152"/>
        <v>3750000</v>
      </c>
      <c r="L1075" s="692">
        <f t="shared" si="148"/>
        <v>14000</v>
      </c>
      <c r="M1075" s="289" t="s">
        <v>261</v>
      </c>
      <c r="N1075" s="289"/>
      <c r="O1075" s="289"/>
      <c r="P1075" s="403" t="s">
        <v>2024</v>
      </c>
      <c r="Q1075" s="2084">
        <f t="shared" si="153"/>
        <v>1</v>
      </c>
      <c r="R1075" s="2332">
        <f t="shared" si="154"/>
        <v>5</v>
      </c>
      <c r="S1075" s="2086"/>
      <c r="T1075" s="2086"/>
      <c r="U1075" s="2086"/>
      <c r="V1075" s="2086"/>
      <c r="W1075" s="2087"/>
      <c r="X1075" s="2088"/>
      <c r="Y1075" s="2089"/>
      <c r="Z1075" s="2085"/>
      <c r="AA1075" s="2085"/>
      <c r="AB1075" s="2085"/>
      <c r="AC1075" s="2085"/>
      <c r="AD1075" s="2085"/>
      <c r="AE1075" s="2089"/>
    </row>
    <row r="1076" spans="1:31" s="73" customFormat="1" ht="27.6" customHeight="1">
      <c r="A1076" s="289">
        <v>764</v>
      </c>
      <c r="B1076" s="289">
        <v>13</v>
      </c>
      <c r="C1076" s="692" t="s">
        <v>2039</v>
      </c>
      <c r="D1076" s="692" t="s">
        <v>2040</v>
      </c>
      <c r="E1076" s="692" t="s">
        <v>47</v>
      </c>
      <c r="F1076" s="895">
        <v>1000</v>
      </c>
      <c r="G1076" s="692">
        <v>550</v>
      </c>
      <c r="H1076" s="1034">
        <f t="shared" si="151"/>
        <v>550000</v>
      </c>
      <c r="I1076" s="896">
        <v>1000</v>
      </c>
      <c r="J1076" s="692">
        <v>600</v>
      </c>
      <c r="K1076" s="692">
        <f t="shared" si="152"/>
        <v>600000</v>
      </c>
      <c r="L1076" s="692">
        <f t="shared" si="148"/>
        <v>50</v>
      </c>
      <c r="M1076" s="289" t="s">
        <v>1687</v>
      </c>
      <c r="N1076" s="289"/>
      <c r="O1076" s="289"/>
      <c r="P1076" s="403" t="s">
        <v>2024</v>
      </c>
      <c r="Q1076" s="2084">
        <f t="shared" si="153"/>
        <v>1</v>
      </c>
      <c r="R1076" s="2332">
        <f t="shared" si="154"/>
        <v>1000</v>
      </c>
      <c r="S1076" s="2086"/>
      <c r="T1076" s="2086"/>
      <c r="U1076" s="2086"/>
      <c r="V1076" s="2086"/>
      <c r="W1076" s="2087"/>
      <c r="X1076" s="2088"/>
      <c r="Y1076" s="2089"/>
      <c r="Z1076" s="2085"/>
      <c r="AA1076" s="2085"/>
      <c r="AB1076" s="2085"/>
      <c r="AC1076" s="2085"/>
      <c r="AD1076" s="2085"/>
      <c r="AE1076" s="2089"/>
    </row>
    <row r="1077" spans="1:31" s="73" customFormat="1" ht="27.6" customHeight="1">
      <c r="A1077" s="289">
        <v>765</v>
      </c>
      <c r="B1077" s="289">
        <v>14</v>
      </c>
      <c r="C1077" s="692" t="s">
        <v>2041</v>
      </c>
      <c r="D1077" s="692" t="s">
        <v>645</v>
      </c>
      <c r="E1077" s="692" t="s">
        <v>47</v>
      </c>
      <c r="F1077" s="895">
        <v>5000</v>
      </c>
      <c r="G1077" s="692">
        <v>480</v>
      </c>
      <c r="H1077" s="1034">
        <f t="shared" si="151"/>
        <v>2400000</v>
      </c>
      <c r="I1077" s="896">
        <v>5000</v>
      </c>
      <c r="J1077" s="692">
        <v>500</v>
      </c>
      <c r="K1077" s="692">
        <f t="shared" si="152"/>
        <v>2500000</v>
      </c>
      <c r="L1077" s="692">
        <f t="shared" si="148"/>
        <v>20</v>
      </c>
      <c r="M1077" s="289" t="s">
        <v>261</v>
      </c>
      <c r="N1077" s="289"/>
      <c r="O1077" s="289"/>
      <c r="P1077" s="403" t="s">
        <v>2024</v>
      </c>
      <c r="Q1077" s="2084">
        <f t="shared" si="153"/>
        <v>1</v>
      </c>
      <c r="R1077" s="2332">
        <f t="shared" si="154"/>
        <v>5000</v>
      </c>
      <c r="S1077" s="2086"/>
      <c r="T1077" s="2086"/>
      <c r="U1077" s="2086"/>
      <c r="V1077" s="2086"/>
      <c r="W1077" s="2087"/>
      <c r="X1077" s="2088"/>
      <c r="Y1077" s="2089"/>
      <c r="Z1077" s="2085"/>
      <c r="AA1077" s="2085"/>
      <c r="AB1077" s="2085"/>
      <c r="AC1077" s="2085"/>
      <c r="AD1077" s="2085"/>
      <c r="AE1077" s="2089"/>
    </row>
    <row r="1078" spans="1:31" s="73" customFormat="1" ht="27.6" customHeight="1">
      <c r="A1078" s="289">
        <v>766</v>
      </c>
      <c r="B1078" s="289">
        <v>15</v>
      </c>
      <c r="C1078" s="692" t="s">
        <v>2042</v>
      </c>
      <c r="D1078" s="692" t="s">
        <v>95</v>
      </c>
      <c r="E1078" s="692" t="s">
        <v>47</v>
      </c>
      <c r="F1078" s="895">
        <v>1000</v>
      </c>
      <c r="G1078" s="692">
        <v>5600</v>
      </c>
      <c r="H1078" s="1034">
        <f t="shared" si="151"/>
        <v>5600000</v>
      </c>
      <c r="I1078" s="896">
        <v>1000</v>
      </c>
      <c r="J1078" s="692">
        <v>6000</v>
      </c>
      <c r="K1078" s="692">
        <f t="shared" si="152"/>
        <v>6000000</v>
      </c>
      <c r="L1078" s="692">
        <f t="shared" si="148"/>
        <v>400</v>
      </c>
      <c r="M1078" s="289" t="s">
        <v>261</v>
      </c>
      <c r="N1078" s="289"/>
      <c r="O1078" s="289"/>
      <c r="P1078" s="403" t="s">
        <v>2024</v>
      </c>
      <c r="Q1078" s="2084">
        <f t="shared" si="153"/>
        <v>1</v>
      </c>
      <c r="R1078" s="2332">
        <f t="shared" si="154"/>
        <v>1000</v>
      </c>
      <c r="S1078" s="2086"/>
      <c r="T1078" s="2086"/>
      <c r="U1078" s="2086"/>
      <c r="V1078" s="2086"/>
      <c r="W1078" s="2087"/>
      <c r="X1078" s="2088"/>
      <c r="Y1078" s="2089"/>
      <c r="Z1078" s="2085"/>
      <c r="AA1078" s="2085"/>
      <c r="AB1078" s="2085"/>
      <c r="AC1078" s="2085"/>
      <c r="AD1078" s="2085"/>
      <c r="AE1078" s="2089"/>
    </row>
    <row r="1079" spans="1:31" s="73" customFormat="1" ht="27.6" customHeight="1">
      <c r="A1079" s="289">
        <v>767</v>
      </c>
      <c r="B1079" s="289">
        <v>16</v>
      </c>
      <c r="C1079" s="692" t="s">
        <v>2043</v>
      </c>
      <c r="D1079" s="692" t="s">
        <v>47</v>
      </c>
      <c r="E1079" s="692" t="s">
        <v>47</v>
      </c>
      <c r="F1079" s="895">
        <v>10</v>
      </c>
      <c r="G1079" s="692">
        <v>3200000</v>
      </c>
      <c r="H1079" s="1034">
        <f t="shared" si="151"/>
        <v>32000000</v>
      </c>
      <c r="I1079" s="896">
        <v>10</v>
      </c>
      <c r="J1079" s="692">
        <v>3900000</v>
      </c>
      <c r="K1079" s="692">
        <f t="shared" si="152"/>
        <v>39000000</v>
      </c>
      <c r="L1079" s="692">
        <f t="shared" si="148"/>
        <v>700000</v>
      </c>
      <c r="M1079" s="289" t="s">
        <v>622</v>
      </c>
      <c r="N1079" s="289"/>
      <c r="O1079" s="289" t="s">
        <v>2029</v>
      </c>
      <c r="P1079" s="403" t="s">
        <v>2024</v>
      </c>
      <c r="Q1079" s="2084">
        <f t="shared" si="153"/>
        <v>1</v>
      </c>
      <c r="R1079" s="2332">
        <f t="shared" si="154"/>
        <v>10</v>
      </c>
      <c r="S1079" s="2086"/>
      <c r="T1079" s="2086"/>
      <c r="U1079" s="2086"/>
      <c r="V1079" s="2086"/>
      <c r="W1079" s="2087"/>
      <c r="X1079" s="2088"/>
      <c r="Y1079" s="2089"/>
      <c r="Z1079" s="2085"/>
      <c r="AA1079" s="2085"/>
      <c r="AB1079" s="2085"/>
      <c r="AC1079" s="2085"/>
      <c r="AD1079" s="2085"/>
      <c r="AE1079" s="2089"/>
    </row>
    <row r="1080" spans="1:31" s="73" customFormat="1" ht="27.6" customHeight="1">
      <c r="A1080" s="289">
        <v>768</v>
      </c>
      <c r="B1080" s="289">
        <v>17</v>
      </c>
      <c r="C1080" s="692" t="s">
        <v>2044</v>
      </c>
      <c r="D1080" s="692" t="s">
        <v>47</v>
      </c>
      <c r="E1080" s="692" t="s">
        <v>47</v>
      </c>
      <c r="F1080" s="895">
        <v>10</v>
      </c>
      <c r="G1080" s="692">
        <v>1860000</v>
      </c>
      <c r="H1080" s="1034">
        <f t="shared" si="151"/>
        <v>18600000</v>
      </c>
      <c r="I1080" s="896">
        <v>10</v>
      </c>
      <c r="J1080" s="692">
        <v>1900000</v>
      </c>
      <c r="K1080" s="692">
        <f t="shared" si="152"/>
        <v>19000000</v>
      </c>
      <c r="L1080" s="692">
        <f t="shared" si="148"/>
        <v>40000</v>
      </c>
      <c r="M1080" s="289" t="s">
        <v>622</v>
      </c>
      <c r="N1080" s="289"/>
      <c r="O1080" s="289"/>
      <c r="P1080" s="403" t="s">
        <v>2024</v>
      </c>
      <c r="Q1080" s="2084">
        <f t="shared" si="153"/>
        <v>1</v>
      </c>
      <c r="R1080" s="2332">
        <f t="shared" si="154"/>
        <v>10</v>
      </c>
      <c r="S1080" s="2086"/>
      <c r="T1080" s="2086"/>
      <c r="U1080" s="2086"/>
      <c r="V1080" s="2086"/>
      <c r="W1080" s="2087"/>
      <c r="X1080" s="2088"/>
      <c r="Y1080" s="2089"/>
      <c r="Z1080" s="2085"/>
      <c r="AA1080" s="2085"/>
      <c r="AB1080" s="2085"/>
      <c r="AC1080" s="2085"/>
      <c r="AD1080" s="2085"/>
      <c r="AE1080" s="2089"/>
    </row>
    <row r="1081" spans="1:31" s="73" customFormat="1" ht="27.6" customHeight="1">
      <c r="A1081" s="289">
        <v>769</v>
      </c>
      <c r="B1081" s="289">
        <v>18</v>
      </c>
      <c r="C1081" s="692" t="s">
        <v>2045</v>
      </c>
      <c r="D1081" s="692" t="s">
        <v>192</v>
      </c>
      <c r="E1081" s="692" t="s">
        <v>192</v>
      </c>
      <c r="F1081" s="895">
        <v>1</v>
      </c>
      <c r="G1081" s="692">
        <v>1720000</v>
      </c>
      <c r="H1081" s="1034">
        <f t="shared" si="151"/>
        <v>1720000</v>
      </c>
      <c r="I1081" s="896">
        <v>1</v>
      </c>
      <c r="J1081" s="692">
        <v>1800000</v>
      </c>
      <c r="K1081" s="692">
        <f t="shared" si="152"/>
        <v>1800000</v>
      </c>
      <c r="L1081" s="692">
        <f t="shared" si="148"/>
        <v>80000</v>
      </c>
      <c r="M1081" s="289" t="s">
        <v>2046</v>
      </c>
      <c r="N1081" s="289"/>
      <c r="O1081" s="289"/>
      <c r="P1081" s="403" t="s">
        <v>2024</v>
      </c>
      <c r="Q1081" s="2084">
        <f t="shared" si="153"/>
        <v>1</v>
      </c>
      <c r="R1081" s="2332">
        <f t="shared" si="154"/>
        <v>1</v>
      </c>
      <c r="S1081" s="2086"/>
      <c r="T1081" s="2086"/>
      <c r="U1081" s="2086"/>
      <c r="V1081" s="2086"/>
      <c r="W1081" s="2087"/>
      <c r="X1081" s="2088"/>
      <c r="Y1081" s="2089"/>
      <c r="Z1081" s="2085"/>
      <c r="AA1081" s="2085"/>
      <c r="AB1081" s="2085"/>
      <c r="AC1081" s="2085"/>
      <c r="AD1081" s="2085"/>
      <c r="AE1081" s="2089"/>
    </row>
    <row r="1082" spans="1:31" s="73" customFormat="1" ht="27.6" customHeight="1">
      <c r="A1082" s="289">
        <v>770</v>
      </c>
      <c r="B1082" s="289">
        <v>19</v>
      </c>
      <c r="C1082" s="692" t="s">
        <v>2047</v>
      </c>
      <c r="D1082" s="692" t="s">
        <v>192</v>
      </c>
      <c r="E1082" s="692" t="s">
        <v>192</v>
      </c>
      <c r="F1082" s="895">
        <v>1</v>
      </c>
      <c r="G1082" s="692">
        <v>1736000</v>
      </c>
      <c r="H1082" s="1034">
        <f t="shared" si="151"/>
        <v>1736000</v>
      </c>
      <c r="I1082" s="896">
        <v>1</v>
      </c>
      <c r="J1082" s="692">
        <v>1750000</v>
      </c>
      <c r="K1082" s="692">
        <f t="shared" si="152"/>
        <v>1750000</v>
      </c>
      <c r="L1082" s="692">
        <f t="shared" si="148"/>
        <v>14000</v>
      </c>
      <c r="M1082" s="289" t="s">
        <v>261</v>
      </c>
      <c r="N1082" s="289"/>
      <c r="O1082" s="289"/>
      <c r="P1082" s="403" t="s">
        <v>2024</v>
      </c>
      <c r="Q1082" s="2084">
        <f t="shared" si="153"/>
        <v>1</v>
      </c>
      <c r="R1082" s="2332">
        <f t="shared" si="154"/>
        <v>1</v>
      </c>
      <c r="S1082" s="2086"/>
      <c r="T1082" s="2086"/>
      <c r="U1082" s="2086"/>
      <c r="V1082" s="2086"/>
      <c r="W1082" s="2087"/>
      <c r="X1082" s="2088"/>
      <c r="Y1082" s="2089"/>
      <c r="Z1082" s="2085"/>
      <c r="AA1082" s="2085"/>
      <c r="AB1082" s="2085"/>
      <c r="AC1082" s="2085"/>
      <c r="AD1082" s="2085"/>
      <c r="AE1082" s="2089"/>
    </row>
    <row r="1083" spans="1:31" s="73" customFormat="1" ht="27.6" customHeight="1">
      <c r="A1083" s="289">
        <v>771</v>
      </c>
      <c r="B1083" s="289">
        <v>20</v>
      </c>
      <c r="C1083" s="692" t="s">
        <v>2048</v>
      </c>
      <c r="D1083" s="692" t="s">
        <v>47</v>
      </c>
      <c r="E1083" s="692" t="s">
        <v>47</v>
      </c>
      <c r="F1083" s="895">
        <v>10</v>
      </c>
      <c r="G1083" s="692">
        <v>3180000</v>
      </c>
      <c r="H1083" s="1034">
        <f t="shared" si="151"/>
        <v>31800000</v>
      </c>
      <c r="I1083" s="896">
        <v>10</v>
      </c>
      <c r="J1083" s="692">
        <v>3200000</v>
      </c>
      <c r="K1083" s="692">
        <f t="shared" si="152"/>
        <v>32000000</v>
      </c>
      <c r="L1083" s="692">
        <f t="shared" si="148"/>
        <v>20000</v>
      </c>
      <c r="M1083" s="289" t="s">
        <v>261</v>
      </c>
      <c r="N1083" s="289"/>
      <c r="O1083" s="289" t="s">
        <v>2029</v>
      </c>
      <c r="P1083" s="403" t="s">
        <v>2024</v>
      </c>
      <c r="Q1083" s="2084">
        <f t="shared" si="153"/>
        <v>1</v>
      </c>
      <c r="R1083" s="2332">
        <f t="shared" si="154"/>
        <v>10</v>
      </c>
      <c r="S1083" s="2086"/>
      <c r="T1083" s="2086"/>
      <c r="U1083" s="2086"/>
      <c r="V1083" s="2086"/>
      <c r="W1083" s="2087"/>
      <c r="X1083" s="2088"/>
      <c r="Y1083" s="2089"/>
      <c r="Z1083" s="2085"/>
      <c r="AA1083" s="2085"/>
      <c r="AB1083" s="2085"/>
      <c r="AC1083" s="2085"/>
      <c r="AD1083" s="2085"/>
      <c r="AE1083" s="2089"/>
    </row>
    <row r="1084" spans="1:31" s="73" customFormat="1" ht="27.6" customHeight="1">
      <c r="A1084" s="289">
        <v>772</v>
      </c>
      <c r="B1084" s="289">
        <v>21</v>
      </c>
      <c r="C1084" s="692" t="s">
        <v>2049</v>
      </c>
      <c r="D1084" s="692" t="s">
        <v>47</v>
      </c>
      <c r="E1084" s="692" t="s">
        <v>47</v>
      </c>
      <c r="F1084" s="895">
        <v>10</v>
      </c>
      <c r="G1084" s="692">
        <v>3060000</v>
      </c>
      <c r="H1084" s="1034">
        <f t="shared" si="151"/>
        <v>30600000</v>
      </c>
      <c r="I1084" s="896">
        <v>10</v>
      </c>
      <c r="J1084" s="692">
        <v>3100000</v>
      </c>
      <c r="K1084" s="692">
        <f t="shared" si="152"/>
        <v>31000000</v>
      </c>
      <c r="L1084" s="692">
        <f t="shared" si="148"/>
        <v>40000</v>
      </c>
      <c r="M1084" s="289" t="s">
        <v>261</v>
      </c>
      <c r="N1084" s="289"/>
      <c r="O1084" s="289" t="s">
        <v>2029</v>
      </c>
      <c r="P1084" s="403" t="s">
        <v>2024</v>
      </c>
      <c r="Q1084" s="2084">
        <f t="shared" si="153"/>
        <v>1</v>
      </c>
      <c r="R1084" s="2332">
        <f t="shared" si="154"/>
        <v>10</v>
      </c>
      <c r="S1084" s="2086"/>
      <c r="T1084" s="2086"/>
      <c r="U1084" s="2086"/>
      <c r="V1084" s="2086"/>
      <c r="W1084" s="2087"/>
      <c r="X1084" s="2088"/>
      <c r="Y1084" s="2089"/>
      <c r="Z1084" s="2085"/>
      <c r="AA1084" s="2085"/>
      <c r="AB1084" s="2085"/>
      <c r="AC1084" s="2085"/>
      <c r="AD1084" s="2085"/>
      <c r="AE1084" s="2089"/>
    </row>
    <row r="1085" spans="1:31" s="73" customFormat="1" ht="27.6" customHeight="1">
      <c r="A1085" s="289">
        <v>773</v>
      </c>
      <c r="B1085" s="289">
        <v>22</v>
      </c>
      <c r="C1085" s="692" t="s">
        <v>2050</v>
      </c>
      <c r="D1085" s="692" t="s">
        <v>192</v>
      </c>
      <c r="E1085" s="692" t="s">
        <v>192</v>
      </c>
      <c r="F1085" s="895">
        <v>20</v>
      </c>
      <c r="G1085" s="692">
        <v>2800000</v>
      </c>
      <c r="H1085" s="1034">
        <f t="shared" si="151"/>
        <v>56000000</v>
      </c>
      <c r="I1085" s="896">
        <v>20</v>
      </c>
      <c r="J1085" s="692">
        <v>7500000</v>
      </c>
      <c r="K1085" s="692">
        <f t="shared" si="152"/>
        <v>150000000</v>
      </c>
      <c r="L1085" s="692">
        <f t="shared" si="148"/>
        <v>4700000</v>
      </c>
      <c r="M1085" s="289" t="s">
        <v>622</v>
      </c>
      <c r="N1085" s="289"/>
      <c r="O1085" s="289" t="s">
        <v>2029</v>
      </c>
      <c r="P1085" s="403" t="s">
        <v>2024</v>
      </c>
      <c r="Q1085" s="2084">
        <f t="shared" si="153"/>
        <v>1</v>
      </c>
      <c r="R1085" s="2332">
        <f t="shared" si="154"/>
        <v>20</v>
      </c>
      <c r="S1085" s="2086"/>
      <c r="T1085" s="2086"/>
      <c r="U1085" s="2086"/>
      <c r="V1085" s="2086"/>
      <c r="W1085" s="2087"/>
      <c r="X1085" s="2088"/>
      <c r="Y1085" s="2089"/>
      <c r="Z1085" s="2085"/>
      <c r="AA1085" s="2085"/>
      <c r="AB1085" s="2085"/>
      <c r="AC1085" s="2085"/>
      <c r="AD1085" s="2085"/>
      <c r="AE1085" s="2089"/>
    </row>
    <row r="1086" spans="1:31" s="73" customFormat="1" ht="27.6" customHeight="1">
      <c r="A1086" s="289">
        <v>774</v>
      </c>
      <c r="B1086" s="289">
        <v>23</v>
      </c>
      <c r="C1086" s="692" t="s">
        <v>2051</v>
      </c>
      <c r="D1086" s="692" t="s">
        <v>192</v>
      </c>
      <c r="E1086" s="692" t="s">
        <v>192</v>
      </c>
      <c r="F1086" s="895">
        <v>10</v>
      </c>
      <c r="G1086" s="692">
        <v>2800000</v>
      </c>
      <c r="H1086" s="1034">
        <f t="shared" si="151"/>
        <v>28000000</v>
      </c>
      <c r="I1086" s="896">
        <v>10</v>
      </c>
      <c r="J1086" s="692">
        <v>7500000</v>
      </c>
      <c r="K1086" s="692">
        <f t="shared" si="152"/>
        <v>75000000</v>
      </c>
      <c r="L1086" s="692">
        <f t="shared" si="148"/>
        <v>4700000</v>
      </c>
      <c r="M1086" s="289" t="s">
        <v>622</v>
      </c>
      <c r="N1086" s="289"/>
      <c r="O1086" s="289" t="s">
        <v>2029</v>
      </c>
      <c r="P1086" s="403" t="s">
        <v>2024</v>
      </c>
      <c r="Q1086" s="2084">
        <f t="shared" si="153"/>
        <v>1</v>
      </c>
      <c r="R1086" s="2332">
        <f t="shared" si="154"/>
        <v>10</v>
      </c>
      <c r="S1086" s="2086"/>
      <c r="T1086" s="2086"/>
      <c r="U1086" s="2086"/>
      <c r="V1086" s="2086"/>
      <c r="W1086" s="2087"/>
      <c r="X1086" s="2088"/>
      <c r="Y1086" s="2089"/>
      <c r="Z1086" s="2085"/>
      <c r="AA1086" s="2085"/>
      <c r="AB1086" s="2085"/>
      <c r="AC1086" s="2085"/>
      <c r="AD1086" s="2085"/>
      <c r="AE1086" s="2089"/>
    </row>
    <row r="1087" spans="1:31" s="73" customFormat="1" ht="27.6" customHeight="1">
      <c r="A1087" s="289">
        <v>775</v>
      </c>
      <c r="B1087" s="289">
        <v>24</v>
      </c>
      <c r="C1087" s="692" t="s">
        <v>2052</v>
      </c>
      <c r="D1087" s="692" t="s">
        <v>192</v>
      </c>
      <c r="E1087" s="692" t="s">
        <v>192</v>
      </c>
      <c r="F1087" s="895">
        <v>4</v>
      </c>
      <c r="G1087" s="692">
        <v>6000000</v>
      </c>
      <c r="H1087" s="1034">
        <f t="shared" si="151"/>
        <v>24000000</v>
      </c>
      <c r="I1087" s="896">
        <v>4</v>
      </c>
      <c r="J1087" s="692">
        <v>10900000</v>
      </c>
      <c r="K1087" s="692">
        <f t="shared" si="152"/>
        <v>43600000</v>
      </c>
      <c r="L1087" s="692">
        <f t="shared" si="148"/>
        <v>4900000</v>
      </c>
      <c r="M1087" s="289" t="s">
        <v>622</v>
      </c>
      <c r="N1087" s="289"/>
      <c r="O1087" s="289" t="s">
        <v>2029</v>
      </c>
      <c r="P1087" s="403" t="s">
        <v>2024</v>
      </c>
      <c r="Q1087" s="2084">
        <f t="shared" si="153"/>
        <v>1</v>
      </c>
      <c r="R1087" s="2332">
        <f t="shared" si="154"/>
        <v>4</v>
      </c>
      <c r="S1087" s="2086"/>
      <c r="T1087" s="2086"/>
      <c r="U1087" s="2086"/>
      <c r="V1087" s="2086"/>
      <c r="W1087" s="2087"/>
      <c r="X1087" s="2088"/>
      <c r="Y1087" s="2089"/>
      <c r="Z1087" s="2085"/>
      <c r="AA1087" s="2085"/>
      <c r="AB1087" s="2085"/>
      <c r="AC1087" s="2085"/>
      <c r="AD1087" s="2085"/>
      <c r="AE1087" s="2089"/>
    </row>
    <row r="1088" spans="1:31" s="73" customFormat="1" ht="27.6" customHeight="1">
      <c r="A1088" s="289">
        <v>776</v>
      </c>
      <c r="B1088" s="289">
        <v>25</v>
      </c>
      <c r="C1088" s="692" t="s">
        <v>2053</v>
      </c>
      <c r="D1088" s="692" t="s">
        <v>192</v>
      </c>
      <c r="E1088" s="692" t="s">
        <v>192</v>
      </c>
      <c r="F1088" s="895">
        <v>5000</v>
      </c>
      <c r="G1088" s="692">
        <v>14200</v>
      </c>
      <c r="H1088" s="1034">
        <f t="shared" si="151"/>
        <v>71000000</v>
      </c>
      <c r="I1088" s="896">
        <v>5000</v>
      </c>
      <c r="J1088" s="692">
        <v>14500</v>
      </c>
      <c r="K1088" s="692">
        <f t="shared" si="152"/>
        <v>72500000</v>
      </c>
      <c r="L1088" s="692">
        <f t="shared" si="148"/>
        <v>300</v>
      </c>
      <c r="M1088" s="289" t="s">
        <v>261</v>
      </c>
      <c r="N1088" s="289"/>
      <c r="O1088" s="289"/>
      <c r="P1088" s="403" t="s">
        <v>2024</v>
      </c>
      <c r="Q1088" s="2084">
        <f t="shared" si="153"/>
        <v>1</v>
      </c>
      <c r="R1088" s="2332">
        <f t="shared" si="154"/>
        <v>5000</v>
      </c>
      <c r="S1088" s="2086"/>
      <c r="T1088" s="2086"/>
      <c r="U1088" s="2086"/>
      <c r="V1088" s="2086"/>
      <c r="W1088" s="2087"/>
      <c r="X1088" s="2088"/>
      <c r="Y1088" s="2089"/>
      <c r="Z1088" s="2085"/>
      <c r="AA1088" s="2085"/>
      <c r="AB1088" s="2085"/>
      <c r="AC1088" s="2085"/>
      <c r="AD1088" s="2085"/>
      <c r="AE1088" s="2089"/>
    </row>
    <row r="1089" spans="1:31" s="73" customFormat="1" ht="27.6" customHeight="1">
      <c r="A1089" s="289">
        <v>777</v>
      </c>
      <c r="B1089" s="289">
        <v>26</v>
      </c>
      <c r="C1089" s="692" t="s">
        <v>2054</v>
      </c>
      <c r="D1089" s="692" t="s">
        <v>2055</v>
      </c>
      <c r="E1089" s="692" t="s">
        <v>2055</v>
      </c>
      <c r="F1089" s="895">
        <v>5</v>
      </c>
      <c r="G1089" s="692">
        <v>290000</v>
      </c>
      <c r="H1089" s="1034">
        <f t="shared" si="151"/>
        <v>1450000</v>
      </c>
      <c r="I1089" s="896">
        <v>5</v>
      </c>
      <c r="J1089" s="692">
        <v>300000</v>
      </c>
      <c r="K1089" s="692">
        <f t="shared" si="152"/>
        <v>1500000</v>
      </c>
      <c r="L1089" s="692">
        <f t="shared" si="148"/>
        <v>10000</v>
      </c>
      <c r="M1089" s="289" t="s">
        <v>2056</v>
      </c>
      <c r="N1089" s="289"/>
      <c r="O1089" s="289"/>
      <c r="P1089" s="403" t="s">
        <v>2024</v>
      </c>
      <c r="Q1089" s="2084">
        <f t="shared" si="153"/>
        <v>1</v>
      </c>
      <c r="R1089" s="2332">
        <f t="shared" si="154"/>
        <v>5</v>
      </c>
      <c r="S1089" s="2086"/>
      <c r="T1089" s="2086"/>
      <c r="U1089" s="2086"/>
      <c r="V1089" s="2086"/>
      <c r="W1089" s="2087"/>
      <c r="X1089" s="2088"/>
      <c r="Y1089" s="2089"/>
      <c r="Z1089" s="2085"/>
      <c r="AA1089" s="2085"/>
      <c r="AB1089" s="2085"/>
      <c r="AC1089" s="2085"/>
      <c r="AD1089" s="2085"/>
      <c r="AE1089" s="2089"/>
    </row>
    <row r="1090" spans="1:31" s="73" customFormat="1" ht="27.6" customHeight="1">
      <c r="A1090" s="289">
        <v>778</v>
      </c>
      <c r="B1090" s="289">
        <v>27</v>
      </c>
      <c r="C1090" s="692" t="s">
        <v>2057</v>
      </c>
      <c r="D1090" s="692" t="s">
        <v>2055</v>
      </c>
      <c r="E1090" s="692" t="s">
        <v>2055</v>
      </c>
      <c r="F1090" s="895">
        <v>5</v>
      </c>
      <c r="G1090" s="692">
        <v>155000</v>
      </c>
      <c r="H1090" s="1034">
        <f t="shared" si="151"/>
        <v>775000</v>
      </c>
      <c r="I1090" s="896">
        <v>5</v>
      </c>
      <c r="J1090" s="692">
        <v>160000</v>
      </c>
      <c r="K1090" s="692">
        <f t="shared" si="152"/>
        <v>800000</v>
      </c>
      <c r="L1090" s="692">
        <f t="shared" si="148"/>
        <v>5000</v>
      </c>
      <c r="M1090" s="289" t="s">
        <v>622</v>
      </c>
      <c r="N1090" s="289"/>
      <c r="O1090" s="289"/>
      <c r="P1090" s="403" t="s">
        <v>2024</v>
      </c>
      <c r="Q1090" s="2084">
        <f t="shared" si="153"/>
        <v>1</v>
      </c>
      <c r="R1090" s="2332">
        <f t="shared" si="154"/>
        <v>5</v>
      </c>
      <c r="S1090" s="2086"/>
      <c r="T1090" s="2086"/>
      <c r="U1090" s="2086"/>
      <c r="V1090" s="2086"/>
      <c r="W1090" s="2087"/>
      <c r="X1090" s="2088"/>
      <c r="Y1090" s="2089"/>
      <c r="Z1090" s="2085"/>
      <c r="AA1090" s="2085"/>
      <c r="AB1090" s="2085"/>
      <c r="AC1090" s="2085"/>
      <c r="AD1090" s="2085"/>
      <c r="AE1090" s="2089"/>
    </row>
    <row r="1091" spans="1:31" s="73" customFormat="1" ht="27.6" customHeight="1">
      <c r="A1091" s="289">
        <v>779</v>
      </c>
      <c r="B1091" s="289">
        <v>28</v>
      </c>
      <c r="C1091" s="692" t="s">
        <v>2058</v>
      </c>
      <c r="D1091" s="692" t="s">
        <v>2055</v>
      </c>
      <c r="E1091" s="692" t="s">
        <v>2055</v>
      </c>
      <c r="F1091" s="895">
        <v>5</v>
      </c>
      <c r="G1091" s="692">
        <v>1850000</v>
      </c>
      <c r="H1091" s="1034">
        <f t="shared" si="151"/>
        <v>9250000</v>
      </c>
      <c r="I1091" s="896">
        <v>5</v>
      </c>
      <c r="J1091" s="692">
        <v>1870000</v>
      </c>
      <c r="K1091" s="692">
        <f t="shared" si="152"/>
        <v>9350000</v>
      </c>
      <c r="L1091" s="692">
        <f t="shared" si="148"/>
        <v>20000</v>
      </c>
      <c r="M1091" s="289" t="s">
        <v>2059</v>
      </c>
      <c r="N1091" s="289"/>
      <c r="O1091" s="289"/>
      <c r="P1091" s="403" t="s">
        <v>2024</v>
      </c>
      <c r="Q1091" s="2084">
        <f t="shared" si="153"/>
        <v>1</v>
      </c>
      <c r="R1091" s="2332">
        <f t="shared" si="154"/>
        <v>5</v>
      </c>
      <c r="S1091" s="2086"/>
      <c r="T1091" s="2086"/>
      <c r="U1091" s="2086"/>
      <c r="V1091" s="2086"/>
      <c r="W1091" s="2087"/>
      <c r="X1091" s="2088"/>
      <c r="Y1091" s="2089"/>
      <c r="Z1091" s="2085"/>
      <c r="AA1091" s="2085"/>
      <c r="AB1091" s="2085"/>
      <c r="AC1091" s="2085"/>
      <c r="AD1091" s="2085"/>
      <c r="AE1091" s="2089"/>
    </row>
    <row r="1092" spans="1:31" s="73" customFormat="1" ht="27.6" customHeight="1">
      <c r="A1092" s="289">
        <v>780</v>
      </c>
      <c r="B1092" s="289">
        <v>29</v>
      </c>
      <c r="C1092" s="692" t="s">
        <v>2060</v>
      </c>
      <c r="D1092" s="692" t="s">
        <v>435</v>
      </c>
      <c r="E1092" s="692" t="s">
        <v>435</v>
      </c>
      <c r="F1092" s="895">
        <v>5</v>
      </c>
      <c r="G1092" s="692">
        <v>1250000</v>
      </c>
      <c r="H1092" s="1034">
        <f t="shared" si="151"/>
        <v>6250000</v>
      </c>
      <c r="I1092" s="896">
        <v>5</v>
      </c>
      <c r="J1092" s="692">
        <v>1280000</v>
      </c>
      <c r="K1092" s="692">
        <f t="shared" si="152"/>
        <v>6400000</v>
      </c>
      <c r="L1092" s="692">
        <f t="shared" si="148"/>
        <v>30000</v>
      </c>
      <c r="M1092" s="289" t="s">
        <v>2059</v>
      </c>
      <c r="N1092" s="289"/>
      <c r="O1092" s="289"/>
      <c r="P1092" s="403" t="s">
        <v>2024</v>
      </c>
      <c r="Q1092" s="2084">
        <f t="shared" si="153"/>
        <v>1</v>
      </c>
      <c r="R1092" s="2332">
        <f t="shared" si="154"/>
        <v>5</v>
      </c>
      <c r="S1092" s="2086"/>
      <c r="T1092" s="2086"/>
      <c r="U1092" s="2086"/>
      <c r="V1092" s="2086"/>
      <c r="W1092" s="2087"/>
      <c r="X1092" s="2088"/>
      <c r="Y1092" s="2089"/>
      <c r="Z1092" s="2085"/>
      <c r="AA1092" s="2085"/>
      <c r="AB1092" s="2085"/>
      <c r="AC1092" s="2085"/>
      <c r="AD1092" s="2085"/>
      <c r="AE1092" s="2089"/>
    </row>
    <row r="1093" spans="1:31" s="73" customFormat="1" ht="27.6" customHeight="1">
      <c r="A1093" s="289">
        <v>781</v>
      </c>
      <c r="B1093" s="289">
        <v>30</v>
      </c>
      <c r="C1093" s="692" t="s">
        <v>2061</v>
      </c>
      <c r="D1093" s="692" t="s">
        <v>2055</v>
      </c>
      <c r="E1093" s="692" t="s">
        <v>2055</v>
      </c>
      <c r="F1093" s="895">
        <v>5</v>
      </c>
      <c r="G1093" s="692">
        <v>126000</v>
      </c>
      <c r="H1093" s="1034">
        <f t="shared" si="151"/>
        <v>630000</v>
      </c>
      <c r="I1093" s="896">
        <v>5</v>
      </c>
      <c r="J1093" s="692">
        <v>130000</v>
      </c>
      <c r="K1093" s="692">
        <f t="shared" si="152"/>
        <v>650000</v>
      </c>
      <c r="L1093" s="692">
        <f t="shared" si="148"/>
        <v>4000</v>
      </c>
      <c r="M1093" s="289" t="s">
        <v>2046</v>
      </c>
      <c r="N1093" s="289"/>
      <c r="O1093" s="289"/>
      <c r="P1093" s="403" t="s">
        <v>2024</v>
      </c>
      <c r="Q1093" s="2084">
        <f t="shared" si="153"/>
        <v>1</v>
      </c>
      <c r="R1093" s="2332">
        <f t="shared" si="154"/>
        <v>5</v>
      </c>
      <c r="S1093" s="2086"/>
      <c r="T1093" s="2086"/>
      <c r="U1093" s="2086"/>
      <c r="V1093" s="2086"/>
      <c r="W1093" s="2087"/>
      <c r="X1093" s="2088"/>
      <c r="Y1093" s="2089"/>
      <c r="Z1093" s="2085"/>
      <c r="AA1093" s="2085"/>
      <c r="AB1093" s="2085"/>
      <c r="AC1093" s="2085"/>
      <c r="AD1093" s="2085"/>
      <c r="AE1093" s="2089"/>
    </row>
    <row r="1094" spans="1:31" s="73" customFormat="1" ht="27.6" customHeight="1">
      <c r="A1094" s="289">
        <v>782</v>
      </c>
      <c r="B1094" s="289">
        <v>31</v>
      </c>
      <c r="C1094" s="692" t="s">
        <v>2062</v>
      </c>
      <c r="D1094" s="692" t="s">
        <v>2055</v>
      </c>
      <c r="E1094" s="692" t="s">
        <v>2055</v>
      </c>
      <c r="F1094" s="895">
        <v>5</v>
      </c>
      <c r="G1094" s="692">
        <v>126000</v>
      </c>
      <c r="H1094" s="1034">
        <f t="shared" si="151"/>
        <v>630000</v>
      </c>
      <c r="I1094" s="896">
        <v>5</v>
      </c>
      <c r="J1094" s="692">
        <v>130000</v>
      </c>
      <c r="K1094" s="692">
        <f t="shared" si="152"/>
        <v>650000</v>
      </c>
      <c r="L1094" s="692">
        <f t="shared" si="148"/>
        <v>4000</v>
      </c>
      <c r="M1094" s="289" t="s">
        <v>2056</v>
      </c>
      <c r="N1094" s="289"/>
      <c r="O1094" s="289"/>
      <c r="P1094" s="403" t="s">
        <v>2024</v>
      </c>
      <c r="Q1094" s="2084">
        <f t="shared" si="153"/>
        <v>1</v>
      </c>
      <c r="R1094" s="2332">
        <f t="shared" si="154"/>
        <v>5</v>
      </c>
      <c r="S1094" s="2086"/>
      <c r="T1094" s="2086"/>
      <c r="U1094" s="2086"/>
      <c r="V1094" s="2086"/>
      <c r="W1094" s="2087"/>
      <c r="X1094" s="2088"/>
      <c r="Y1094" s="2089"/>
      <c r="Z1094" s="2085"/>
      <c r="AA1094" s="2085"/>
      <c r="AB1094" s="2085"/>
      <c r="AC1094" s="2085"/>
      <c r="AD1094" s="2085"/>
      <c r="AE1094" s="2089"/>
    </row>
    <row r="1095" spans="1:31" s="73" customFormat="1" ht="27.6" customHeight="1">
      <c r="A1095" s="289">
        <v>783</v>
      </c>
      <c r="B1095" s="289">
        <v>32</v>
      </c>
      <c r="C1095" s="692" t="s">
        <v>2063</v>
      </c>
      <c r="D1095" s="692" t="s">
        <v>2055</v>
      </c>
      <c r="E1095" s="692" t="s">
        <v>2055</v>
      </c>
      <c r="F1095" s="895">
        <v>5</v>
      </c>
      <c r="G1095" s="692">
        <v>920000</v>
      </c>
      <c r="H1095" s="1034">
        <f t="shared" si="151"/>
        <v>4600000</v>
      </c>
      <c r="I1095" s="896">
        <v>5</v>
      </c>
      <c r="J1095" s="692">
        <v>950000</v>
      </c>
      <c r="K1095" s="692">
        <f t="shared" si="152"/>
        <v>4750000</v>
      </c>
      <c r="L1095" s="692">
        <f t="shared" si="148"/>
        <v>30000</v>
      </c>
      <c r="M1095" s="289" t="s">
        <v>2064</v>
      </c>
      <c r="N1095" s="289"/>
      <c r="O1095" s="289"/>
      <c r="P1095" s="403" t="s">
        <v>2024</v>
      </c>
      <c r="Q1095" s="2084">
        <f t="shared" si="153"/>
        <v>1</v>
      </c>
      <c r="R1095" s="2332">
        <f t="shared" si="154"/>
        <v>5</v>
      </c>
      <c r="S1095" s="2086"/>
      <c r="T1095" s="2086"/>
      <c r="U1095" s="2086"/>
      <c r="V1095" s="2086"/>
      <c r="W1095" s="2087"/>
      <c r="X1095" s="2088"/>
      <c r="Y1095" s="2089"/>
      <c r="Z1095" s="2085"/>
      <c r="AA1095" s="2085"/>
      <c r="AB1095" s="2085"/>
      <c r="AC1095" s="2085"/>
      <c r="AD1095" s="2085"/>
      <c r="AE1095" s="2089"/>
    </row>
    <row r="1096" spans="1:31" s="73" customFormat="1" ht="27.6" customHeight="1">
      <c r="A1096" s="289">
        <v>784</v>
      </c>
      <c r="B1096" s="289">
        <v>33</v>
      </c>
      <c r="C1096" s="692" t="s">
        <v>2065</v>
      </c>
      <c r="D1096" s="692" t="s">
        <v>2066</v>
      </c>
      <c r="E1096" s="692" t="s">
        <v>435</v>
      </c>
      <c r="F1096" s="895">
        <v>30</v>
      </c>
      <c r="G1096" s="692">
        <v>720000</v>
      </c>
      <c r="H1096" s="1034">
        <f t="shared" si="151"/>
        <v>21600000</v>
      </c>
      <c r="I1096" s="896">
        <v>30</v>
      </c>
      <c r="J1096" s="692">
        <v>730000</v>
      </c>
      <c r="K1096" s="692">
        <f t="shared" si="152"/>
        <v>21900000</v>
      </c>
      <c r="L1096" s="692">
        <f t="shared" si="148"/>
        <v>10000</v>
      </c>
      <c r="M1096" s="289" t="s">
        <v>622</v>
      </c>
      <c r="N1096" s="289"/>
      <c r="O1096" s="289"/>
      <c r="P1096" s="403" t="s">
        <v>2024</v>
      </c>
      <c r="Q1096" s="2084">
        <f t="shared" si="153"/>
        <v>1</v>
      </c>
      <c r="R1096" s="2332">
        <f t="shared" si="154"/>
        <v>30</v>
      </c>
      <c r="S1096" s="2086"/>
      <c r="T1096" s="2086"/>
      <c r="U1096" s="2086"/>
      <c r="V1096" s="2086"/>
      <c r="W1096" s="2087"/>
      <c r="X1096" s="2088"/>
      <c r="Y1096" s="2089"/>
      <c r="Z1096" s="2085"/>
      <c r="AA1096" s="2085"/>
      <c r="AB1096" s="2085"/>
      <c r="AC1096" s="2085"/>
      <c r="AD1096" s="2085"/>
      <c r="AE1096" s="2089"/>
    </row>
    <row r="1097" spans="1:31" s="73" customFormat="1" ht="27.6" customHeight="1">
      <c r="A1097" s="289">
        <v>785</v>
      </c>
      <c r="B1097" s="289">
        <v>34</v>
      </c>
      <c r="C1097" s="692" t="s">
        <v>2067</v>
      </c>
      <c r="D1097" s="692" t="s">
        <v>2066</v>
      </c>
      <c r="E1097" s="692" t="s">
        <v>435</v>
      </c>
      <c r="F1097" s="895">
        <v>20</v>
      </c>
      <c r="G1097" s="692">
        <v>770000</v>
      </c>
      <c r="H1097" s="1034">
        <f t="shared" si="151"/>
        <v>15400000</v>
      </c>
      <c r="I1097" s="896">
        <v>20</v>
      </c>
      <c r="J1097" s="692">
        <v>780000</v>
      </c>
      <c r="K1097" s="692">
        <f t="shared" si="152"/>
        <v>15600000</v>
      </c>
      <c r="L1097" s="692">
        <f t="shared" si="148"/>
        <v>10000</v>
      </c>
      <c r="M1097" s="289" t="s">
        <v>622</v>
      </c>
      <c r="N1097" s="289"/>
      <c r="O1097" s="289"/>
      <c r="P1097" s="403" t="s">
        <v>2024</v>
      </c>
      <c r="Q1097" s="2084">
        <f t="shared" si="153"/>
        <v>1</v>
      </c>
      <c r="R1097" s="2332">
        <f t="shared" si="154"/>
        <v>20</v>
      </c>
      <c r="S1097" s="2086"/>
      <c r="T1097" s="2086"/>
      <c r="U1097" s="2086"/>
      <c r="V1097" s="2086"/>
      <c r="W1097" s="2087"/>
      <c r="X1097" s="2088"/>
      <c r="Y1097" s="2089"/>
      <c r="Z1097" s="2085"/>
      <c r="AA1097" s="2085"/>
      <c r="AB1097" s="2085"/>
      <c r="AC1097" s="2085"/>
      <c r="AD1097" s="2085"/>
      <c r="AE1097" s="2089"/>
    </row>
    <row r="1098" spans="1:31" s="73" customFormat="1" ht="27.6" customHeight="1">
      <c r="A1098" s="289">
        <v>786</v>
      </c>
      <c r="B1098" s="289">
        <v>35</v>
      </c>
      <c r="C1098" s="692" t="s">
        <v>2068</v>
      </c>
      <c r="D1098" s="692" t="s">
        <v>2069</v>
      </c>
      <c r="E1098" s="692" t="s">
        <v>435</v>
      </c>
      <c r="F1098" s="895">
        <v>20</v>
      </c>
      <c r="G1098" s="692">
        <v>850000</v>
      </c>
      <c r="H1098" s="1034">
        <f t="shared" si="151"/>
        <v>17000000</v>
      </c>
      <c r="I1098" s="896">
        <v>20</v>
      </c>
      <c r="J1098" s="692">
        <v>860000</v>
      </c>
      <c r="K1098" s="692">
        <f t="shared" si="152"/>
        <v>17200000</v>
      </c>
      <c r="L1098" s="692">
        <f t="shared" si="148"/>
        <v>10000</v>
      </c>
      <c r="M1098" s="289" t="s">
        <v>622</v>
      </c>
      <c r="N1098" s="289"/>
      <c r="O1098" s="289"/>
      <c r="P1098" s="403" t="s">
        <v>2024</v>
      </c>
      <c r="Q1098" s="2084">
        <f t="shared" si="153"/>
        <v>1</v>
      </c>
      <c r="R1098" s="2332">
        <f t="shared" si="154"/>
        <v>20</v>
      </c>
      <c r="S1098" s="2086"/>
      <c r="T1098" s="2086"/>
      <c r="U1098" s="2086"/>
      <c r="V1098" s="2086"/>
      <c r="W1098" s="2087"/>
      <c r="X1098" s="2088"/>
      <c r="Y1098" s="2089"/>
      <c r="Z1098" s="2085"/>
      <c r="AA1098" s="2085"/>
      <c r="AB1098" s="2085"/>
      <c r="AC1098" s="2085"/>
      <c r="AD1098" s="2085"/>
      <c r="AE1098" s="2089"/>
    </row>
    <row r="1099" spans="1:31" s="73" customFormat="1" ht="27.6" customHeight="1">
      <c r="A1099" s="289">
        <v>787</v>
      </c>
      <c r="B1099" s="289">
        <v>36</v>
      </c>
      <c r="C1099" s="692" t="s">
        <v>2070</v>
      </c>
      <c r="D1099" s="692" t="s">
        <v>2066</v>
      </c>
      <c r="E1099" s="692" t="s">
        <v>435</v>
      </c>
      <c r="F1099" s="895">
        <v>20</v>
      </c>
      <c r="G1099" s="692">
        <v>970000</v>
      </c>
      <c r="H1099" s="1034">
        <f t="shared" si="151"/>
        <v>19400000</v>
      </c>
      <c r="I1099" s="896">
        <v>20</v>
      </c>
      <c r="J1099" s="692">
        <v>980000</v>
      </c>
      <c r="K1099" s="692">
        <f t="shared" si="152"/>
        <v>19600000</v>
      </c>
      <c r="L1099" s="692">
        <f t="shared" si="148"/>
        <v>10000</v>
      </c>
      <c r="M1099" s="289" t="s">
        <v>622</v>
      </c>
      <c r="N1099" s="289"/>
      <c r="O1099" s="289"/>
      <c r="P1099" s="403" t="s">
        <v>2024</v>
      </c>
      <c r="Q1099" s="2084">
        <f t="shared" si="153"/>
        <v>1</v>
      </c>
      <c r="R1099" s="2332">
        <f t="shared" si="154"/>
        <v>20</v>
      </c>
      <c r="S1099" s="2086"/>
      <c r="T1099" s="2086"/>
      <c r="U1099" s="2086"/>
      <c r="V1099" s="2086"/>
      <c r="W1099" s="2087"/>
      <c r="X1099" s="2088"/>
      <c r="Y1099" s="2089"/>
      <c r="Z1099" s="2085"/>
      <c r="AA1099" s="2085"/>
      <c r="AB1099" s="2085"/>
      <c r="AC1099" s="2085"/>
      <c r="AD1099" s="2085"/>
      <c r="AE1099" s="2089"/>
    </row>
    <row r="1100" spans="1:31" s="73" customFormat="1" ht="27.6" customHeight="1">
      <c r="A1100" s="289">
        <v>788</v>
      </c>
      <c r="B1100" s="289">
        <v>37</v>
      </c>
      <c r="C1100" s="692" t="s">
        <v>2071</v>
      </c>
      <c r="D1100" s="692" t="s">
        <v>95</v>
      </c>
      <c r="E1100" s="692" t="s">
        <v>47</v>
      </c>
      <c r="F1100" s="895">
        <v>16</v>
      </c>
      <c r="G1100" s="692">
        <v>6700000</v>
      </c>
      <c r="H1100" s="1034">
        <f t="shared" si="151"/>
        <v>107200000</v>
      </c>
      <c r="I1100" s="896">
        <v>16</v>
      </c>
      <c r="J1100" s="692">
        <v>6800000</v>
      </c>
      <c r="K1100" s="692">
        <f t="shared" si="152"/>
        <v>108800000</v>
      </c>
      <c r="L1100" s="692">
        <f t="shared" si="148"/>
        <v>100000</v>
      </c>
      <c r="M1100" s="289" t="s">
        <v>2046</v>
      </c>
      <c r="N1100" s="289"/>
      <c r="O1100" s="289" t="s">
        <v>2029</v>
      </c>
      <c r="P1100" s="403" t="s">
        <v>2024</v>
      </c>
      <c r="Q1100" s="2084">
        <f t="shared" si="153"/>
        <v>1</v>
      </c>
      <c r="R1100" s="2332">
        <f t="shared" si="154"/>
        <v>16</v>
      </c>
      <c r="S1100" s="2086"/>
      <c r="T1100" s="2086"/>
      <c r="U1100" s="2086"/>
      <c r="V1100" s="2086"/>
      <c r="W1100" s="2087"/>
      <c r="X1100" s="2088"/>
      <c r="Y1100" s="2089"/>
      <c r="Z1100" s="2085"/>
      <c r="AA1100" s="2085"/>
      <c r="AB1100" s="2085"/>
      <c r="AC1100" s="2085"/>
      <c r="AD1100" s="2085"/>
      <c r="AE1100" s="2089"/>
    </row>
    <row r="1101" spans="1:31" s="73" customFormat="1" ht="27.6" customHeight="1">
      <c r="A1101" s="289">
        <v>789</v>
      </c>
      <c r="B1101" s="289">
        <v>38</v>
      </c>
      <c r="C1101" s="692" t="s">
        <v>2072</v>
      </c>
      <c r="D1101" s="692" t="s">
        <v>677</v>
      </c>
      <c r="E1101" s="692" t="s">
        <v>677</v>
      </c>
      <c r="F1101" s="895">
        <v>125</v>
      </c>
      <c r="G1101" s="692">
        <v>145000</v>
      </c>
      <c r="H1101" s="1034">
        <f t="shared" si="151"/>
        <v>18125000</v>
      </c>
      <c r="I1101" s="896">
        <v>125</v>
      </c>
      <c r="J1101" s="692">
        <v>150000</v>
      </c>
      <c r="K1101" s="692">
        <f t="shared" si="152"/>
        <v>18750000</v>
      </c>
      <c r="L1101" s="692">
        <f t="shared" si="148"/>
        <v>5000</v>
      </c>
      <c r="M1101" s="289" t="s">
        <v>261</v>
      </c>
      <c r="N1101" s="289"/>
      <c r="O1101" s="289"/>
      <c r="P1101" s="403" t="s">
        <v>2024</v>
      </c>
      <c r="Q1101" s="2084">
        <f t="shared" si="153"/>
        <v>1</v>
      </c>
      <c r="R1101" s="2332">
        <f t="shared" si="154"/>
        <v>125</v>
      </c>
      <c r="S1101" s="2086"/>
      <c r="T1101" s="2086"/>
      <c r="U1101" s="2086"/>
      <c r="V1101" s="2086"/>
      <c r="W1101" s="2087"/>
      <c r="X1101" s="2088"/>
      <c r="Y1101" s="2089"/>
      <c r="Z1101" s="2085"/>
      <c r="AA1101" s="2085"/>
      <c r="AB1101" s="2085"/>
      <c r="AC1101" s="2085"/>
      <c r="AD1101" s="2085"/>
      <c r="AE1101" s="2089"/>
    </row>
    <row r="1102" spans="1:31" s="73" customFormat="1" ht="27.6" customHeight="1">
      <c r="A1102" s="289">
        <v>790</v>
      </c>
      <c r="B1102" s="289">
        <v>39</v>
      </c>
      <c r="C1102" s="692" t="s">
        <v>2073</v>
      </c>
      <c r="D1102" s="692" t="s">
        <v>677</v>
      </c>
      <c r="E1102" s="692" t="s">
        <v>677</v>
      </c>
      <c r="F1102" s="895">
        <v>300</v>
      </c>
      <c r="G1102" s="692">
        <v>52000</v>
      </c>
      <c r="H1102" s="1034">
        <f t="shared" si="151"/>
        <v>15600000</v>
      </c>
      <c r="I1102" s="896">
        <v>300</v>
      </c>
      <c r="J1102" s="692">
        <v>55000</v>
      </c>
      <c r="K1102" s="692">
        <f t="shared" si="152"/>
        <v>16500000</v>
      </c>
      <c r="L1102" s="692">
        <f t="shared" si="148"/>
        <v>3000</v>
      </c>
      <c r="M1102" s="289" t="s">
        <v>261</v>
      </c>
      <c r="N1102" s="289"/>
      <c r="O1102" s="289"/>
      <c r="P1102" s="403" t="s">
        <v>2024</v>
      </c>
      <c r="Q1102" s="2084">
        <f t="shared" si="153"/>
        <v>1</v>
      </c>
      <c r="R1102" s="2332">
        <f t="shared" si="154"/>
        <v>300</v>
      </c>
      <c r="S1102" s="2086"/>
      <c r="T1102" s="2086"/>
      <c r="U1102" s="2086"/>
      <c r="V1102" s="2086"/>
      <c r="W1102" s="2087"/>
      <c r="X1102" s="2088"/>
      <c r="Y1102" s="2089"/>
      <c r="Z1102" s="2085"/>
      <c r="AA1102" s="2085"/>
      <c r="AB1102" s="2085"/>
      <c r="AC1102" s="2085"/>
      <c r="AD1102" s="2085"/>
      <c r="AE1102" s="2089"/>
    </row>
    <row r="1103" spans="1:31" s="73" customFormat="1" ht="27.6" customHeight="1">
      <c r="A1103" s="289">
        <v>791</v>
      </c>
      <c r="B1103" s="289">
        <v>40</v>
      </c>
      <c r="C1103" s="692" t="s">
        <v>2074</v>
      </c>
      <c r="D1103" s="692" t="s">
        <v>677</v>
      </c>
      <c r="E1103" s="692" t="s">
        <v>677</v>
      </c>
      <c r="F1103" s="895">
        <v>1500</v>
      </c>
      <c r="G1103" s="692">
        <v>7000</v>
      </c>
      <c r="H1103" s="1034">
        <f t="shared" si="151"/>
        <v>10500000</v>
      </c>
      <c r="I1103" s="896">
        <v>1500</v>
      </c>
      <c r="J1103" s="692">
        <v>7300</v>
      </c>
      <c r="K1103" s="692">
        <f t="shared" si="152"/>
        <v>10950000</v>
      </c>
      <c r="L1103" s="692">
        <f t="shared" si="148"/>
        <v>300</v>
      </c>
      <c r="M1103" s="289" t="s">
        <v>261</v>
      </c>
      <c r="N1103" s="289"/>
      <c r="O1103" s="289"/>
      <c r="P1103" s="403" t="s">
        <v>2024</v>
      </c>
      <c r="Q1103" s="2084">
        <f t="shared" si="153"/>
        <v>1</v>
      </c>
      <c r="R1103" s="2332">
        <f t="shared" si="154"/>
        <v>1500</v>
      </c>
      <c r="S1103" s="2086"/>
      <c r="T1103" s="2086"/>
      <c r="U1103" s="2086"/>
      <c r="V1103" s="2086"/>
      <c r="W1103" s="2087"/>
      <c r="X1103" s="2088"/>
      <c r="Y1103" s="2089"/>
      <c r="Z1103" s="2085"/>
      <c r="AA1103" s="2085"/>
      <c r="AB1103" s="2085"/>
      <c r="AC1103" s="2085"/>
      <c r="AD1103" s="2085"/>
      <c r="AE1103" s="2089"/>
    </row>
    <row r="1104" spans="1:31" s="73" customFormat="1" ht="27.6" customHeight="1">
      <c r="A1104" s="289">
        <v>792</v>
      </c>
      <c r="B1104" s="289">
        <v>41</v>
      </c>
      <c r="C1104" s="692" t="s">
        <v>2075</v>
      </c>
      <c r="D1104" s="692" t="s">
        <v>677</v>
      </c>
      <c r="E1104" s="692" t="s">
        <v>677</v>
      </c>
      <c r="F1104" s="895">
        <v>100</v>
      </c>
      <c r="G1104" s="692">
        <v>76000</v>
      </c>
      <c r="H1104" s="1034">
        <f t="shared" si="151"/>
        <v>7600000</v>
      </c>
      <c r="I1104" s="896">
        <v>100</v>
      </c>
      <c r="J1104" s="692">
        <v>80000</v>
      </c>
      <c r="K1104" s="692">
        <f t="shared" si="152"/>
        <v>8000000</v>
      </c>
      <c r="L1104" s="692">
        <f t="shared" si="148"/>
        <v>4000</v>
      </c>
      <c r="M1104" s="289" t="s">
        <v>261</v>
      </c>
      <c r="N1104" s="289"/>
      <c r="O1104" s="289"/>
      <c r="P1104" s="403" t="s">
        <v>2024</v>
      </c>
      <c r="Q1104" s="2084">
        <f t="shared" si="153"/>
        <v>1</v>
      </c>
      <c r="R1104" s="2332">
        <f t="shared" si="154"/>
        <v>100</v>
      </c>
      <c r="S1104" s="2086"/>
      <c r="T1104" s="2086"/>
      <c r="U1104" s="2086"/>
      <c r="V1104" s="2086"/>
      <c r="W1104" s="2087"/>
      <c r="X1104" s="2088"/>
      <c r="Y1104" s="2089"/>
      <c r="Z1104" s="2085"/>
      <c r="AA1104" s="2085"/>
      <c r="AB1104" s="2085"/>
      <c r="AC1104" s="2085"/>
      <c r="AD1104" s="2085"/>
      <c r="AE1104" s="2089"/>
    </row>
    <row r="1105" spans="1:31" s="73" customFormat="1" ht="27.6" customHeight="1">
      <c r="A1105" s="289">
        <v>793</v>
      </c>
      <c r="B1105" s="289">
        <v>42</v>
      </c>
      <c r="C1105" s="692" t="s">
        <v>2076</v>
      </c>
      <c r="D1105" s="692" t="s">
        <v>677</v>
      </c>
      <c r="E1105" s="692" t="s">
        <v>677</v>
      </c>
      <c r="F1105" s="895">
        <v>100</v>
      </c>
      <c r="G1105" s="692">
        <v>28000</v>
      </c>
      <c r="H1105" s="1034">
        <f t="shared" si="151"/>
        <v>2800000</v>
      </c>
      <c r="I1105" s="896">
        <v>100</v>
      </c>
      <c r="J1105" s="692">
        <v>30000</v>
      </c>
      <c r="K1105" s="692">
        <f t="shared" si="152"/>
        <v>3000000</v>
      </c>
      <c r="L1105" s="692">
        <f t="shared" si="148"/>
        <v>2000</v>
      </c>
      <c r="M1105" s="289" t="s">
        <v>261</v>
      </c>
      <c r="N1105" s="289"/>
      <c r="O1105" s="289"/>
      <c r="P1105" s="403" t="s">
        <v>2024</v>
      </c>
      <c r="Q1105" s="2084">
        <f t="shared" si="153"/>
        <v>1</v>
      </c>
      <c r="R1105" s="2332">
        <f t="shared" si="154"/>
        <v>100</v>
      </c>
      <c r="S1105" s="2086"/>
      <c r="T1105" s="2086"/>
      <c r="U1105" s="2086"/>
      <c r="V1105" s="2086"/>
      <c r="W1105" s="2087"/>
      <c r="X1105" s="2088"/>
      <c r="Y1105" s="2089"/>
      <c r="Z1105" s="2085"/>
      <c r="AA1105" s="2085"/>
      <c r="AB1105" s="2085"/>
      <c r="AC1105" s="2085"/>
      <c r="AD1105" s="2085"/>
      <c r="AE1105" s="2089"/>
    </row>
    <row r="1106" spans="1:31" s="73" customFormat="1" ht="27.6" customHeight="1">
      <c r="A1106" s="289">
        <v>794</v>
      </c>
      <c r="B1106" s="289">
        <v>43</v>
      </c>
      <c r="C1106" s="692" t="s">
        <v>2077</v>
      </c>
      <c r="D1106" s="692" t="s">
        <v>47</v>
      </c>
      <c r="E1106" s="692" t="s">
        <v>47</v>
      </c>
      <c r="F1106" s="895">
        <v>200</v>
      </c>
      <c r="G1106" s="692">
        <v>76000</v>
      </c>
      <c r="H1106" s="1034">
        <f t="shared" si="151"/>
        <v>15200000</v>
      </c>
      <c r="I1106" s="896">
        <v>200</v>
      </c>
      <c r="J1106" s="692">
        <v>80000</v>
      </c>
      <c r="K1106" s="692">
        <f t="shared" si="152"/>
        <v>16000000</v>
      </c>
      <c r="L1106" s="692">
        <f t="shared" si="148"/>
        <v>4000</v>
      </c>
      <c r="M1106" s="289" t="s">
        <v>261</v>
      </c>
      <c r="N1106" s="289"/>
      <c r="O1106" s="289"/>
      <c r="P1106" s="403" t="s">
        <v>2024</v>
      </c>
      <c r="Q1106" s="2084">
        <f t="shared" si="153"/>
        <v>1</v>
      </c>
      <c r="R1106" s="2332">
        <f t="shared" si="154"/>
        <v>200</v>
      </c>
      <c r="S1106" s="2086"/>
      <c r="T1106" s="2086"/>
      <c r="U1106" s="2086"/>
      <c r="V1106" s="2086"/>
      <c r="W1106" s="2087"/>
      <c r="X1106" s="2088"/>
      <c r="Y1106" s="2089"/>
      <c r="Z1106" s="2085"/>
      <c r="AA1106" s="2085"/>
      <c r="AB1106" s="2085"/>
      <c r="AC1106" s="2085"/>
      <c r="AD1106" s="2085"/>
      <c r="AE1106" s="2089"/>
    </row>
    <row r="1107" spans="1:31" s="73" customFormat="1" ht="27.6" customHeight="1">
      <c r="A1107" s="289">
        <v>795</v>
      </c>
      <c r="B1107" s="289">
        <v>44</v>
      </c>
      <c r="C1107" s="692" t="s">
        <v>2078</v>
      </c>
      <c r="D1107" s="692" t="s">
        <v>677</v>
      </c>
      <c r="E1107" s="692" t="s">
        <v>677</v>
      </c>
      <c r="F1107" s="895">
        <v>10</v>
      </c>
      <c r="G1107" s="692">
        <v>356000</v>
      </c>
      <c r="H1107" s="1034">
        <f t="shared" si="151"/>
        <v>3560000</v>
      </c>
      <c r="I1107" s="896">
        <v>10</v>
      </c>
      <c r="J1107" s="692">
        <v>360000</v>
      </c>
      <c r="K1107" s="692">
        <f t="shared" si="152"/>
        <v>3600000</v>
      </c>
      <c r="L1107" s="692">
        <f t="shared" si="148"/>
        <v>4000</v>
      </c>
      <c r="M1107" s="289" t="s">
        <v>622</v>
      </c>
      <c r="N1107" s="289"/>
      <c r="O1107" s="289"/>
      <c r="P1107" s="403" t="s">
        <v>2024</v>
      </c>
      <c r="Q1107" s="2084">
        <f t="shared" si="153"/>
        <v>1</v>
      </c>
      <c r="R1107" s="2332">
        <f t="shared" si="154"/>
        <v>10</v>
      </c>
      <c r="S1107" s="2086"/>
      <c r="T1107" s="2086"/>
      <c r="U1107" s="2086"/>
      <c r="V1107" s="2086"/>
      <c r="W1107" s="2087"/>
      <c r="X1107" s="2088"/>
      <c r="Y1107" s="2089"/>
      <c r="Z1107" s="2085"/>
      <c r="AA1107" s="2085"/>
      <c r="AB1107" s="2085"/>
      <c r="AC1107" s="2085"/>
      <c r="AD1107" s="2085"/>
      <c r="AE1107" s="2089"/>
    </row>
    <row r="1108" spans="1:31" s="73" customFormat="1" ht="27.6" customHeight="1">
      <c r="A1108" s="289">
        <v>796</v>
      </c>
      <c r="B1108" s="289">
        <v>45</v>
      </c>
      <c r="C1108" s="692" t="s">
        <v>2079</v>
      </c>
      <c r="D1108" s="692" t="s">
        <v>47</v>
      </c>
      <c r="E1108" s="692" t="s">
        <v>47</v>
      </c>
      <c r="F1108" s="895">
        <v>15</v>
      </c>
      <c r="G1108" s="692">
        <v>235000</v>
      </c>
      <c r="H1108" s="1034">
        <f t="shared" si="151"/>
        <v>3525000</v>
      </c>
      <c r="I1108" s="896">
        <v>15</v>
      </c>
      <c r="J1108" s="692">
        <v>240000</v>
      </c>
      <c r="K1108" s="692">
        <f t="shared" si="152"/>
        <v>3600000</v>
      </c>
      <c r="L1108" s="692">
        <f t="shared" si="148"/>
        <v>5000</v>
      </c>
      <c r="M1108" s="289" t="s">
        <v>1692</v>
      </c>
      <c r="N1108" s="289"/>
      <c r="O1108" s="289"/>
      <c r="P1108" s="403" t="s">
        <v>2024</v>
      </c>
      <c r="Q1108" s="2084">
        <f t="shared" si="153"/>
        <v>1</v>
      </c>
      <c r="R1108" s="2332">
        <f t="shared" si="154"/>
        <v>15</v>
      </c>
      <c r="S1108" s="2086"/>
      <c r="T1108" s="2086"/>
      <c r="U1108" s="2086"/>
      <c r="V1108" s="2086"/>
      <c r="W1108" s="2087"/>
      <c r="X1108" s="2088"/>
      <c r="Y1108" s="2089"/>
      <c r="Z1108" s="2085"/>
      <c r="AA1108" s="2085"/>
      <c r="AB1108" s="2085"/>
      <c r="AC1108" s="2085"/>
      <c r="AD1108" s="2085"/>
      <c r="AE1108" s="2089"/>
    </row>
    <row r="1109" spans="1:31" s="73" customFormat="1" ht="27.6" customHeight="1">
      <c r="A1109" s="289">
        <v>797</v>
      </c>
      <c r="B1109" s="289">
        <v>46</v>
      </c>
      <c r="C1109" s="692" t="s">
        <v>2080</v>
      </c>
      <c r="D1109" s="692" t="s">
        <v>47</v>
      </c>
      <c r="E1109" s="692" t="s">
        <v>47</v>
      </c>
      <c r="F1109" s="895">
        <v>500</v>
      </c>
      <c r="G1109" s="692">
        <v>35000</v>
      </c>
      <c r="H1109" s="1034">
        <f t="shared" si="151"/>
        <v>17500000</v>
      </c>
      <c r="I1109" s="896">
        <v>500</v>
      </c>
      <c r="J1109" s="692">
        <v>37000</v>
      </c>
      <c r="K1109" s="692">
        <f t="shared" si="152"/>
        <v>18500000</v>
      </c>
      <c r="L1109" s="692">
        <f t="shared" si="148"/>
        <v>2000</v>
      </c>
      <c r="M1109" s="289" t="s">
        <v>1692</v>
      </c>
      <c r="N1109" s="289"/>
      <c r="O1109" s="289"/>
      <c r="P1109" s="403" t="s">
        <v>2024</v>
      </c>
      <c r="Q1109" s="2084">
        <f t="shared" si="153"/>
        <v>1</v>
      </c>
      <c r="R1109" s="2332">
        <f t="shared" si="154"/>
        <v>500</v>
      </c>
      <c r="S1109" s="2086"/>
      <c r="T1109" s="2086"/>
      <c r="U1109" s="2086"/>
      <c r="V1109" s="2086"/>
      <c r="W1109" s="2087"/>
      <c r="X1109" s="2088"/>
      <c r="Y1109" s="2089"/>
      <c r="Z1109" s="2085"/>
      <c r="AA1109" s="2085"/>
      <c r="AB1109" s="2085"/>
      <c r="AC1109" s="2085"/>
      <c r="AD1109" s="2085"/>
      <c r="AE1109" s="2089"/>
    </row>
    <row r="1110" spans="1:31" s="73" customFormat="1" ht="27.6" customHeight="1">
      <c r="A1110" s="289">
        <v>798</v>
      </c>
      <c r="B1110" s="289">
        <v>47</v>
      </c>
      <c r="C1110" s="692" t="s">
        <v>2081</v>
      </c>
      <c r="D1110" s="692" t="s">
        <v>47</v>
      </c>
      <c r="E1110" s="692" t="s">
        <v>47</v>
      </c>
      <c r="F1110" s="895">
        <v>500</v>
      </c>
      <c r="G1110" s="692">
        <v>52000</v>
      </c>
      <c r="H1110" s="1034">
        <f t="shared" si="151"/>
        <v>26000000</v>
      </c>
      <c r="I1110" s="896">
        <v>500</v>
      </c>
      <c r="J1110" s="692">
        <v>53000</v>
      </c>
      <c r="K1110" s="692">
        <f t="shared" si="152"/>
        <v>26500000</v>
      </c>
      <c r="L1110" s="692">
        <f t="shared" si="148"/>
        <v>1000</v>
      </c>
      <c r="M1110" s="289" t="s">
        <v>622</v>
      </c>
      <c r="N1110" s="289"/>
      <c r="O1110" s="289"/>
      <c r="P1110" s="403" t="s">
        <v>2024</v>
      </c>
      <c r="Q1110" s="2084">
        <f t="shared" si="153"/>
        <v>1</v>
      </c>
      <c r="R1110" s="2332">
        <f t="shared" si="154"/>
        <v>500</v>
      </c>
      <c r="S1110" s="2086"/>
      <c r="T1110" s="2086"/>
      <c r="U1110" s="2086"/>
      <c r="V1110" s="2086"/>
      <c r="W1110" s="2087"/>
      <c r="X1110" s="2088"/>
      <c r="Y1110" s="2089"/>
      <c r="Z1110" s="2085"/>
      <c r="AA1110" s="2085"/>
      <c r="AB1110" s="2085"/>
      <c r="AC1110" s="2085"/>
      <c r="AD1110" s="2085"/>
      <c r="AE1110" s="2089"/>
    </row>
    <row r="1111" spans="1:31" s="73" customFormat="1" ht="27.6" customHeight="1">
      <c r="A1111" s="289">
        <v>799</v>
      </c>
      <c r="B1111" s="289">
        <v>48</v>
      </c>
      <c r="C1111" s="692" t="s">
        <v>2082</v>
      </c>
      <c r="D1111" s="692" t="s">
        <v>95</v>
      </c>
      <c r="E1111" s="692" t="s">
        <v>47</v>
      </c>
      <c r="F1111" s="895">
        <v>500</v>
      </c>
      <c r="G1111" s="692">
        <v>22000</v>
      </c>
      <c r="H1111" s="1034">
        <f t="shared" si="151"/>
        <v>11000000</v>
      </c>
      <c r="I1111" s="896">
        <v>500</v>
      </c>
      <c r="J1111" s="692">
        <v>25000</v>
      </c>
      <c r="K1111" s="692">
        <f t="shared" si="152"/>
        <v>12500000</v>
      </c>
      <c r="L1111" s="692">
        <f t="shared" si="148"/>
        <v>3000</v>
      </c>
      <c r="M1111" s="289" t="s">
        <v>2083</v>
      </c>
      <c r="N1111" s="289"/>
      <c r="O1111" s="289"/>
      <c r="P1111" s="403" t="s">
        <v>2024</v>
      </c>
      <c r="Q1111" s="2084">
        <f t="shared" si="153"/>
        <v>1</v>
      </c>
      <c r="R1111" s="2332">
        <f t="shared" si="154"/>
        <v>500</v>
      </c>
      <c r="S1111" s="2086"/>
      <c r="T1111" s="2086"/>
      <c r="U1111" s="2086"/>
      <c r="V1111" s="2086"/>
      <c r="W1111" s="2087"/>
      <c r="X1111" s="2088"/>
      <c r="Y1111" s="2089"/>
      <c r="Z1111" s="2085"/>
      <c r="AA1111" s="2085"/>
      <c r="AB1111" s="2085"/>
      <c r="AC1111" s="2085"/>
      <c r="AD1111" s="2085"/>
      <c r="AE1111" s="2089"/>
    </row>
    <row r="1112" spans="1:31" s="73" customFormat="1" ht="27.6" customHeight="1">
      <c r="A1112" s="289">
        <v>800</v>
      </c>
      <c r="B1112" s="289">
        <v>49</v>
      </c>
      <c r="C1112" s="692" t="s">
        <v>2084</v>
      </c>
      <c r="D1112" s="1035" t="s">
        <v>2085</v>
      </c>
      <c r="E1112" s="692" t="s">
        <v>47</v>
      </c>
      <c r="F1112" s="895">
        <v>30</v>
      </c>
      <c r="G1112" s="692">
        <v>400000</v>
      </c>
      <c r="H1112" s="1034">
        <f t="shared" si="151"/>
        <v>12000000</v>
      </c>
      <c r="I1112" s="896">
        <v>30</v>
      </c>
      <c r="J1112" s="692">
        <v>450000</v>
      </c>
      <c r="K1112" s="692">
        <f t="shared" si="152"/>
        <v>13500000</v>
      </c>
      <c r="L1112" s="692">
        <f t="shared" si="148"/>
        <v>50000</v>
      </c>
      <c r="M1112" s="289" t="s">
        <v>2059</v>
      </c>
      <c r="N1112" s="289"/>
      <c r="O1112" s="289"/>
      <c r="P1112" s="403" t="s">
        <v>2024</v>
      </c>
      <c r="Q1112" s="2084">
        <f t="shared" si="153"/>
        <v>1</v>
      </c>
      <c r="R1112" s="2332">
        <f t="shared" si="154"/>
        <v>30</v>
      </c>
      <c r="S1112" s="2086"/>
      <c r="T1112" s="2086"/>
      <c r="U1112" s="2086"/>
      <c r="V1112" s="2086"/>
      <c r="W1112" s="2087"/>
      <c r="X1112" s="2088"/>
      <c r="Y1112" s="2089"/>
      <c r="Z1112" s="2085"/>
      <c r="AA1112" s="2085"/>
      <c r="AB1112" s="2085"/>
      <c r="AC1112" s="2085"/>
      <c r="AD1112" s="2085"/>
      <c r="AE1112" s="2089"/>
    </row>
    <row r="1113" spans="1:31" s="73" customFormat="1" ht="27.6" customHeight="1">
      <c r="A1113" s="289">
        <v>801</v>
      </c>
      <c r="B1113" s="289">
        <v>50</v>
      </c>
      <c r="C1113" s="692" t="s">
        <v>2086</v>
      </c>
      <c r="D1113" s="692" t="s">
        <v>2087</v>
      </c>
      <c r="E1113" s="692" t="s">
        <v>47</v>
      </c>
      <c r="F1113" s="895">
        <v>7000</v>
      </c>
      <c r="G1113" s="692">
        <v>17000</v>
      </c>
      <c r="H1113" s="1034">
        <f t="shared" si="151"/>
        <v>119000000</v>
      </c>
      <c r="I1113" s="896">
        <v>7000</v>
      </c>
      <c r="J1113" s="692">
        <v>19000</v>
      </c>
      <c r="K1113" s="692">
        <f t="shared" si="152"/>
        <v>133000000</v>
      </c>
      <c r="L1113" s="692">
        <f t="shared" si="148"/>
        <v>2000</v>
      </c>
      <c r="M1113" s="289" t="s">
        <v>622</v>
      </c>
      <c r="N1113" s="289"/>
      <c r="O1113" s="289"/>
      <c r="P1113" s="403" t="s">
        <v>2024</v>
      </c>
      <c r="Q1113" s="2084">
        <f t="shared" si="153"/>
        <v>1</v>
      </c>
      <c r="R1113" s="2332">
        <f t="shared" si="154"/>
        <v>7000</v>
      </c>
      <c r="S1113" s="2086"/>
      <c r="T1113" s="2086"/>
      <c r="U1113" s="2086"/>
      <c r="V1113" s="2086"/>
      <c r="W1113" s="2087"/>
      <c r="X1113" s="2088"/>
      <c r="Y1113" s="2089"/>
      <c r="Z1113" s="2085"/>
      <c r="AA1113" s="2085"/>
      <c r="AB1113" s="2085"/>
      <c r="AC1113" s="2085"/>
      <c r="AD1113" s="2085"/>
      <c r="AE1113" s="2089"/>
    </row>
    <row r="1114" spans="1:31" s="73" customFormat="1" ht="27.6" customHeight="1">
      <c r="A1114" s="289">
        <v>802</v>
      </c>
      <c r="B1114" s="289">
        <v>51</v>
      </c>
      <c r="C1114" s="692" t="s">
        <v>2088</v>
      </c>
      <c r="D1114" s="692" t="s">
        <v>2089</v>
      </c>
      <c r="E1114" s="692" t="s">
        <v>47</v>
      </c>
      <c r="F1114" s="895">
        <v>10000</v>
      </c>
      <c r="G1114" s="692">
        <v>16000</v>
      </c>
      <c r="H1114" s="1034">
        <f t="shared" si="151"/>
        <v>160000000</v>
      </c>
      <c r="I1114" s="896">
        <v>10000</v>
      </c>
      <c r="J1114" s="692">
        <v>20500</v>
      </c>
      <c r="K1114" s="692">
        <f t="shared" si="152"/>
        <v>205000000</v>
      </c>
      <c r="L1114" s="692">
        <f t="shared" si="148"/>
        <v>4500</v>
      </c>
      <c r="M1114" s="289" t="s">
        <v>622</v>
      </c>
      <c r="N1114" s="289"/>
      <c r="O1114" s="289"/>
      <c r="P1114" s="403" t="s">
        <v>2024</v>
      </c>
      <c r="Q1114" s="2084">
        <f t="shared" si="153"/>
        <v>1</v>
      </c>
      <c r="R1114" s="2332">
        <f t="shared" si="154"/>
        <v>10000</v>
      </c>
      <c r="S1114" s="2086"/>
      <c r="T1114" s="2086"/>
      <c r="U1114" s="2086"/>
      <c r="V1114" s="2086"/>
      <c r="W1114" s="2087"/>
      <c r="X1114" s="2088"/>
      <c r="Y1114" s="2089"/>
      <c r="Z1114" s="2085"/>
      <c r="AA1114" s="2085"/>
      <c r="AB1114" s="2085"/>
      <c r="AC1114" s="2085"/>
      <c r="AD1114" s="2085"/>
      <c r="AE1114" s="2089"/>
    </row>
    <row r="1115" spans="1:31" ht="27.6" customHeight="1">
      <c r="A1115" s="289">
        <v>803</v>
      </c>
      <c r="B1115" s="289">
        <v>52</v>
      </c>
      <c r="C1115" s="692" t="s">
        <v>2090</v>
      </c>
      <c r="D1115" s="692" t="s">
        <v>2091</v>
      </c>
      <c r="E1115" s="692" t="s">
        <v>260</v>
      </c>
      <c r="F1115" s="895">
        <v>1000</v>
      </c>
      <c r="G1115" s="692">
        <v>200000</v>
      </c>
      <c r="H1115" s="1034">
        <f t="shared" si="151"/>
        <v>200000000</v>
      </c>
      <c r="I1115" s="896">
        <v>1000</v>
      </c>
      <c r="J1115" s="692">
        <v>202000</v>
      </c>
      <c r="K1115" s="692">
        <f t="shared" si="152"/>
        <v>202000000</v>
      </c>
      <c r="L1115" s="692">
        <f t="shared" si="148"/>
        <v>2000</v>
      </c>
      <c r="M1115" s="289" t="s">
        <v>2059</v>
      </c>
      <c r="N1115" s="289"/>
      <c r="O1115" s="289"/>
      <c r="P1115" s="403" t="s">
        <v>2024</v>
      </c>
      <c r="Q1115" s="2084">
        <f t="shared" si="153"/>
        <v>1</v>
      </c>
      <c r="R1115" s="2332">
        <f t="shared" si="154"/>
        <v>1000</v>
      </c>
      <c r="S1115" s="2086"/>
      <c r="T1115" s="2086"/>
      <c r="U1115" s="2086"/>
      <c r="V1115" s="2086"/>
      <c r="W1115" s="2087"/>
      <c r="X1115" s="2088"/>
      <c r="Y1115" s="2089"/>
      <c r="Z1115" s="2085"/>
      <c r="AA1115" s="2085"/>
      <c r="AB1115" s="2085"/>
      <c r="AC1115" s="2085"/>
      <c r="AD1115" s="2085"/>
      <c r="AE1115" s="2089"/>
    </row>
    <row r="1116" spans="1:31" ht="27.6" customHeight="1">
      <c r="A1116" s="289">
        <v>804</v>
      </c>
      <c r="B1116" s="289">
        <v>53</v>
      </c>
      <c r="C1116" s="692" t="s">
        <v>2092</v>
      </c>
      <c r="D1116" s="692" t="s">
        <v>2093</v>
      </c>
      <c r="E1116" s="692" t="s">
        <v>192</v>
      </c>
      <c r="F1116" s="895">
        <v>10</v>
      </c>
      <c r="G1116" s="692">
        <v>3450000</v>
      </c>
      <c r="H1116" s="1034">
        <f t="shared" si="151"/>
        <v>34500000</v>
      </c>
      <c r="I1116" s="896">
        <v>10</v>
      </c>
      <c r="J1116" s="692">
        <v>3500000</v>
      </c>
      <c r="K1116" s="692">
        <f t="shared" si="152"/>
        <v>35000000</v>
      </c>
      <c r="L1116" s="692">
        <f t="shared" si="148"/>
        <v>50000</v>
      </c>
      <c r="M1116" s="289" t="s">
        <v>622</v>
      </c>
      <c r="N1116" s="289"/>
      <c r="O1116" s="289" t="s">
        <v>2029</v>
      </c>
      <c r="P1116" s="403" t="s">
        <v>2024</v>
      </c>
      <c r="Q1116" s="2084">
        <f t="shared" si="153"/>
        <v>1</v>
      </c>
      <c r="R1116" s="2332">
        <f t="shared" si="154"/>
        <v>10</v>
      </c>
      <c r="S1116" s="2086"/>
      <c r="T1116" s="2086"/>
      <c r="U1116" s="2086"/>
      <c r="V1116" s="2086"/>
      <c r="W1116" s="2087"/>
      <c r="X1116" s="2088"/>
      <c r="Y1116" s="2089"/>
      <c r="Z1116" s="2085"/>
      <c r="AA1116" s="2085"/>
      <c r="AB1116" s="2085"/>
      <c r="AC1116" s="2085"/>
      <c r="AD1116" s="2085"/>
      <c r="AE1116" s="2089"/>
    </row>
    <row r="1117" spans="1:31" ht="27.6" customHeight="1">
      <c r="A1117" s="289">
        <v>805</v>
      </c>
      <c r="B1117" s="289">
        <v>54</v>
      </c>
      <c r="C1117" s="692" t="s">
        <v>2094</v>
      </c>
      <c r="D1117" s="692" t="s">
        <v>2095</v>
      </c>
      <c r="E1117" s="692" t="s">
        <v>47</v>
      </c>
      <c r="F1117" s="895">
        <v>5000</v>
      </c>
      <c r="G1117" s="692">
        <v>14000</v>
      </c>
      <c r="H1117" s="1034">
        <f t="shared" si="151"/>
        <v>70000000</v>
      </c>
      <c r="I1117" s="896">
        <v>5000</v>
      </c>
      <c r="J1117" s="692">
        <v>15000</v>
      </c>
      <c r="K1117" s="692">
        <f t="shared" si="152"/>
        <v>75000000</v>
      </c>
      <c r="L1117" s="692">
        <f t="shared" si="148"/>
        <v>1000</v>
      </c>
      <c r="M1117" s="289" t="s">
        <v>261</v>
      </c>
      <c r="N1117" s="289"/>
      <c r="O1117" s="289"/>
      <c r="P1117" s="403" t="s">
        <v>2024</v>
      </c>
      <c r="Q1117" s="2084">
        <f t="shared" si="153"/>
        <v>1</v>
      </c>
      <c r="R1117" s="2332">
        <f t="shared" si="154"/>
        <v>5000</v>
      </c>
      <c r="S1117" s="2086"/>
      <c r="T1117" s="2086"/>
      <c r="U1117" s="2086"/>
      <c r="V1117" s="2086"/>
      <c r="W1117" s="2087"/>
      <c r="X1117" s="2088"/>
      <c r="Y1117" s="2089"/>
      <c r="Z1117" s="2085"/>
      <c r="AA1117" s="2085"/>
      <c r="AB1117" s="2085"/>
      <c r="AC1117" s="2085"/>
      <c r="AD1117" s="2085"/>
      <c r="AE1117" s="2089"/>
    </row>
    <row r="1118" spans="1:31" ht="27.6" customHeight="1">
      <c r="A1118" s="289">
        <v>806</v>
      </c>
      <c r="B1118" s="289">
        <v>55</v>
      </c>
      <c r="C1118" s="692" t="s">
        <v>2096</v>
      </c>
      <c r="D1118" s="692" t="s">
        <v>2097</v>
      </c>
      <c r="E1118" s="692" t="s">
        <v>47</v>
      </c>
      <c r="F1118" s="895">
        <v>20000</v>
      </c>
      <c r="G1118" s="692">
        <v>1500</v>
      </c>
      <c r="H1118" s="1034">
        <f t="shared" si="151"/>
        <v>30000000</v>
      </c>
      <c r="I1118" s="896">
        <v>20000</v>
      </c>
      <c r="J1118" s="692">
        <v>1600</v>
      </c>
      <c r="K1118" s="692">
        <f t="shared" si="152"/>
        <v>32000000</v>
      </c>
      <c r="L1118" s="692">
        <f t="shared" si="148"/>
        <v>100</v>
      </c>
      <c r="M1118" s="289" t="s">
        <v>261</v>
      </c>
      <c r="N1118" s="289"/>
      <c r="O1118" s="289"/>
      <c r="P1118" s="403" t="s">
        <v>2024</v>
      </c>
      <c r="Q1118" s="2084">
        <f t="shared" si="153"/>
        <v>1</v>
      </c>
      <c r="R1118" s="2332">
        <f t="shared" si="154"/>
        <v>20000</v>
      </c>
      <c r="S1118" s="2086"/>
      <c r="T1118" s="2086"/>
      <c r="U1118" s="2086"/>
      <c r="V1118" s="2086"/>
      <c r="W1118" s="2087"/>
      <c r="X1118" s="2088"/>
      <c r="Y1118" s="2089"/>
      <c r="Z1118" s="2085"/>
      <c r="AA1118" s="2085"/>
      <c r="AB1118" s="2085"/>
      <c r="AC1118" s="2085"/>
      <c r="AD1118" s="2085"/>
      <c r="AE1118" s="2089"/>
    </row>
    <row r="1119" spans="1:31" ht="27.6" customHeight="1">
      <c r="A1119" s="289">
        <v>807</v>
      </c>
      <c r="B1119" s="289">
        <v>56</v>
      </c>
      <c r="C1119" s="692" t="s">
        <v>2098</v>
      </c>
      <c r="D1119" s="692" t="s">
        <v>2099</v>
      </c>
      <c r="E1119" s="692" t="s">
        <v>276</v>
      </c>
      <c r="F1119" s="895">
        <v>30</v>
      </c>
      <c r="G1119" s="692">
        <v>70000</v>
      </c>
      <c r="H1119" s="1034">
        <f t="shared" si="151"/>
        <v>2100000</v>
      </c>
      <c r="I1119" s="896">
        <v>30</v>
      </c>
      <c r="J1119" s="692">
        <v>420000</v>
      </c>
      <c r="K1119" s="692">
        <f t="shared" si="152"/>
        <v>12600000</v>
      </c>
      <c r="L1119" s="692">
        <f t="shared" si="148"/>
        <v>350000</v>
      </c>
      <c r="M1119" s="289" t="s">
        <v>2100</v>
      </c>
      <c r="N1119" s="289"/>
      <c r="O1119" s="289"/>
      <c r="P1119" s="403" t="s">
        <v>2024</v>
      </c>
      <c r="Q1119" s="2084">
        <f t="shared" si="153"/>
        <v>1</v>
      </c>
      <c r="R1119" s="2332">
        <f t="shared" si="154"/>
        <v>30</v>
      </c>
      <c r="S1119" s="2086"/>
      <c r="T1119" s="2086"/>
      <c r="U1119" s="2086"/>
      <c r="V1119" s="2086"/>
      <c r="W1119" s="2087"/>
      <c r="X1119" s="2088"/>
      <c r="Y1119" s="2089"/>
      <c r="Z1119" s="2085"/>
      <c r="AA1119" s="2085"/>
      <c r="AB1119" s="2085"/>
      <c r="AC1119" s="2085"/>
      <c r="AD1119" s="2085"/>
      <c r="AE1119" s="2089"/>
    </row>
    <row r="1120" spans="1:31" ht="27.6" customHeight="1">
      <c r="A1120" s="289">
        <v>808</v>
      </c>
      <c r="B1120" s="289">
        <v>57</v>
      </c>
      <c r="C1120" s="692" t="s">
        <v>2101</v>
      </c>
      <c r="D1120" s="692" t="s">
        <v>2102</v>
      </c>
      <c r="E1120" s="692" t="s">
        <v>276</v>
      </c>
      <c r="F1120" s="895">
        <v>30</v>
      </c>
      <c r="G1120" s="692">
        <v>80000</v>
      </c>
      <c r="H1120" s="1034">
        <f t="shared" si="151"/>
        <v>2400000</v>
      </c>
      <c r="I1120" s="896">
        <v>30</v>
      </c>
      <c r="J1120" s="692">
        <v>720000</v>
      </c>
      <c r="K1120" s="692">
        <f t="shared" si="152"/>
        <v>21600000</v>
      </c>
      <c r="L1120" s="692">
        <f t="shared" si="148"/>
        <v>640000</v>
      </c>
      <c r="M1120" s="289" t="s">
        <v>2100</v>
      </c>
      <c r="N1120" s="289"/>
      <c r="O1120" s="289"/>
      <c r="P1120" s="403" t="s">
        <v>2024</v>
      </c>
      <c r="Q1120" s="2084">
        <f t="shared" si="153"/>
        <v>1</v>
      </c>
      <c r="R1120" s="2332">
        <f t="shared" si="154"/>
        <v>30</v>
      </c>
      <c r="S1120" s="2086"/>
      <c r="T1120" s="2086"/>
      <c r="U1120" s="2086"/>
      <c r="V1120" s="2086"/>
      <c r="W1120" s="2087"/>
      <c r="X1120" s="2088"/>
      <c r="Y1120" s="2089"/>
      <c r="Z1120" s="2085"/>
      <c r="AA1120" s="2085"/>
      <c r="AB1120" s="2085"/>
      <c r="AC1120" s="2085"/>
      <c r="AD1120" s="2085"/>
      <c r="AE1120" s="2089"/>
    </row>
    <row r="1121" spans="1:31" ht="27">
      <c r="A1121" s="289">
        <v>809</v>
      </c>
      <c r="B1121" s="289">
        <v>58</v>
      </c>
      <c r="C1121" s="692" t="s">
        <v>2103</v>
      </c>
      <c r="D1121" s="692" t="s">
        <v>2104</v>
      </c>
      <c r="E1121" s="692" t="s">
        <v>276</v>
      </c>
      <c r="F1121" s="895">
        <v>30</v>
      </c>
      <c r="G1121" s="692">
        <v>80000</v>
      </c>
      <c r="H1121" s="1034">
        <f t="shared" si="151"/>
        <v>2400000</v>
      </c>
      <c r="I1121" s="896">
        <v>30</v>
      </c>
      <c r="J1121" s="692">
        <v>1080000</v>
      </c>
      <c r="K1121" s="692">
        <f t="shared" si="152"/>
        <v>32400000</v>
      </c>
      <c r="L1121" s="692">
        <f t="shared" si="148"/>
        <v>1000000</v>
      </c>
      <c r="M1121" s="289" t="s">
        <v>2100</v>
      </c>
      <c r="N1121" s="289"/>
      <c r="O1121" s="289"/>
      <c r="P1121" s="403" t="s">
        <v>2024</v>
      </c>
      <c r="Q1121" s="2084">
        <f t="shared" si="153"/>
        <v>1</v>
      </c>
      <c r="R1121" s="2332">
        <f t="shared" si="154"/>
        <v>30</v>
      </c>
      <c r="S1121" s="2086"/>
      <c r="T1121" s="2086"/>
      <c r="U1121" s="2086"/>
      <c r="V1121" s="2086"/>
      <c r="W1121" s="2087"/>
      <c r="X1121" s="2088"/>
      <c r="Y1121" s="2089"/>
      <c r="Z1121" s="2085"/>
      <c r="AA1121" s="2085"/>
      <c r="AB1121" s="2085"/>
      <c r="AC1121" s="2085"/>
      <c r="AD1121" s="2085"/>
      <c r="AE1121" s="2089"/>
    </row>
    <row r="1122" spans="1:31" ht="27">
      <c r="A1122" s="289">
        <v>810</v>
      </c>
      <c r="B1122" s="289">
        <v>59</v>
      </c>
      <c r="C1122" s="692" t="s">
        <v>2105</v>
      </c>
      <c r="D1122" s="692" t="s">
        <v>2106</v>
      </c>
      <c r="E1122" s="692" t="s">
        <v>435</v>
      </c>
      <c r="F1122" s="895">
        <v>5</v>
      </c>
      <c r="G1122" s="692">
        <v>2950000</v>
      </c>
      <c r="H1122" s="1034">
        <f t="shared" si="151"/>
        <v>14750000</v>
      </c>
      <c r="I1122" s="896">
        <v>5</v>
      </c>
      <c r="J1122" s="692">
        <v>3000000</v>
      </c>
      <c r="K1122" s="692">
        <f t="shared" si="152"/>
        <v>15000000</v>
      </c>
      <c r="L1122" s="692">
        <f t="shared" si="148"/>
        <v>50000</v>
      </c>
      <c r="M1122" s="289" t="s">
        <v>622</v>
      </c>
      <c r="N1122" s="289"/>
      <c r="O1122" s="289"/>
      <c r="P1122" s="403" t="s">
        <v>2024</v>
      </c>
      <c r="Q1122" s="2084">
        <f t="shared" si="153"/>
        <v>1</v>
      </c>
      <c r="R1122" s="2332">
        <f t="shared" si="154"/>
        <v>5</v>
      </c>
      <c r="S1122" s="2086"/>
      <c r="T1122" s="2086"/>
      <c r="U1122" s="2086"/>
      <c r="V1122" s="2086"/>
      <c r="W1122" s="2087"/>
      <c r="X1122" s="2088"/>
      <c r="Y1122" s="2089"/>
      <c r="Z1122" s="2085"/>
      <c r="AA1122" s="2085"/>
      <c r="AB1122" s="2085"/>
      <c r="AC1122" s="2085"/>
      <c r="AD1122" s="2085"/>
      <c r="AE1122" s="2089"/>
    </row>
    <row r="1123" spans="1:31" ht="27">
      <c r="A1123" s="289">
        <v>811</v>
      </c>
      <c r="B1123" s="289">
        <v>60</v>
      </c>
      <c r="C1123" s="692" t="s">
        <v>2107</v>
      </c>
      <c r="D1123" s="692" t="s">
        <v>2108</v>
      </c>
      <c r="E1123" s="692" t="s">
        <v>981</v>
      </c>
      <c r="F1123" s="895">
        <v>5</v>
      </c>
      <c r="G1123" s="692">
        <v>2820000</v>
      </c>
      <c r="H1123" s="1034">
        <f t="shared" si="151"/>
        <v>14100000</v>
      </c>
      <c r="I1123" s="896">
        <v>5</v>
      </c>
      <c r="J1123" s="692">
        <v>2850000</v>
      </c>
      <c r="K1123" s="692">
        <f t="shared" si="152"/>
        <v>14250000</v>
      </c>
      <c r="L1123" s="692">
        <f t="shared" si="148"/>
        <v>30000</v>
      </c>
      <c r="M1123" s="289" t="s">
        <v>622</v>
      </c>
      <c r="N1123" s="289"/>
      <c r="O1123" s="289"/>
      <c r="P1123" s="403" t="s">
        <v>2024</v>
      </c>
      <c r="Q1123" s="2084">
        <f t="shared" si="153"/>
        <v>1</v>
      </c>
      <c r="R1123" s="2332">
        <f t="shared" si="154"/>
        <v>5</v>
      </c>
      <c r="S1123" s="2086"/>
      <c r="T1123" s="2086"/>
      <c r="U1123" s="2086"/>
      <c r="V1123" s="2086"/>
      <c r="W1123" s="2087"/>
      <c r="X1123" s="2088"/>
      <c r="Y1123" s="2089"/>
      <c r="Z1123" s="2085"/>
      <c r="AA1123" s="2085"/>
      <c r="AB1123" s="2085"/>
      <c r="AC1123" s="2085"/>
      <c r="AD1123" s="2085"/>
      <c r="AE1123" s="2089"/>
    </row>
    <row r="1124" spans="1:31" ht="27">
      <c r="A1124" s="289">
        <v>812</v>
      </c>
      <c r="B1124" s="289">
        <v>61</v>
      </c>
      <c r="C1124" s="692" t="s">
        <v>2109</v>
      </c>
      <c r="D1124" s="692" t="s">
        <v>2110</v>
      </c>
      <c r="E1124" s="692" t="s">
        <v>2055</v>
      </c>
      <c r="F1124" s="895">
        <v>40</v>
      </c>
      <c r="G1124" s="692">
        <v>30000</v>
      </c>
      <c r="H1124" s="1034">
        <f t="shared" si="151"/>
        <v>1200000</v>
      </c>
      <c r="I1124" s="896">
        <v>40</v>
      </c>
      <c r="J1124" s="692">
        <v>32000</v>
      </c>
      <c r="K1124" s="692">
        <f t="shared" si="152"/>
        <v>1280000</v>
      </c>
      <c r="L1124" s="692">
        <f t="shared" si="148"/>
        <v>2000</v>
      </c>
      <c r="M1124" s="289" t="s">
        <v>261</v>
      </c>
      <c r="N1124" s="289"/>
      <c r="O1124" s="289"/>
      <c r="P1124" s="403" t="s">
        <v>2024</v>
      </c>
      <c r="Q1124" s="2084">
        <f t="shared" si="153"/>
        <v>1</v>
      </c>
      <c r="R1124" s="2332">
        <f t="shared" si="154"/>
        <v>40</v>
      </c>
      <c r="S1124" s="2086"/>
      <c r="T1124" s="2086"/>
      <c r="U1124" s="2086"/>
      <c r="V1124" s="2086"/>
      <c r="W1124" s="2087"/>
      <c r="X1124" s="2088"/>
      <c r="Y1124" s="2089"/>
      <c r="Z1124" s="2085"/>
      <c r="AA1124" s="2085"/>
      <c r="AB1124" s="2085"/>
      <c r="AC1124" s="2085"/>
      <c r="AD1124" s="2085"/>
      <c r="AE1124" s="2089"/>
    </row>
    <row r="1125" spans="1:31" ht="27">
      <c r="A1125" s="326">
        <v>813</v>
      </c>
      <c r="B1125" s="326">
        <v>62</v>
      </c>
      <c r="C1125" s="711" t="s">
        <v>2111</v>
      </c>
      <c r="D1125" s="711" t="s">
        <v>2110</v>
      </c>
      <c r="E1125" s="711" t="s">
        <v>2055</v>
      </c>
      <c r="F1125" s="905">
        <v>40</v>
      </c>
      <c r="G1125" s="711">
        <v>30000</v>
      </c>
      <c r="H1125" s="1036">
        <f t="shared" si="151"/>
        <v>1200000</v>
      </c>
      <c r="I1125" s="906">
        <v>40</v>
      </c>
      <c r="J1125" s="711">
        <v>32000</v>
      </c>
      <c r="K1125" s="711">
        <f t="shared" si="152"/>
        <v>1280000</v>
      </c>
      <c r="L1125" s="711">
        <f t="shared" si="148"/>
        <v>2000</v>
      </c>
      <c r="M1125" s="326" t="s">
        <v>261</v>
      </c>
      <c r="N1125" s="326"/>
      <c r="O1125" s="326"/>
      <c r="P1125" s="420" t="s">
        <v>2024</v>
      </c>
      <c r="Q1125" s="2084">
        <f t="shared" si="153"/>
        <v>1</v>
      </c>
      <c r="R1125" s="2332">
        <f t="shared" si="154"/>
        <v>40</v>
      </c>
      <c r="S1125" s="2086"/>
      <c r="T1125" s="2086"/>
      <c r="U1125" s="2086"/>
      <c r="V1125" s="2086"/>
      <c r="W1125" s="2087"/>
      <c r="X1125" s="2088"/>
      <c r="Y1125" s="2089"/>
      <c r="Z1125" s="2085"/>
      <c r="AA1125" s="2085"/>
      <c r="AB1125" s="2085"/>
      <c r="AC1125" s="2085"/>
      <c r="AD1125" s="2085"/>
      <c r="AE1125" s="2089"/>
    </row>
    <row r="1126" spans="1:31">
      <c r="A1126" s="2093" t="s">
        <v>2112</v>
      </c>
      <c r="B1126" s="2093"/>
      <c r="C1126" s="2093"/>
      <c r="D1126" s="2093"/>
      <c r="E1126" s="2093"/>
      <c r="F1126" s="2093"/>
      <c r="G1126" s="2093"/>
      <c r="H1126" s="2310">
        <f>SUM(H1064:H1125)</f>
        <v>1421923000</v>
      </c>
      <c r="J1126" s="248"/>
      <c r="K1126" s="1037">
        <f>SUM(K1064:K1125)</f>
        <v>1734720000</v>
      </c>
      <c r="L1126" s="248"/>
      <c r="M1126" s="483"/>
      <c r="N1126" s="483"/>
      <c r="O1126" s="331"/>
      <c r="P1126" s="142"/>
      <c r="Q1126" s="115"/>
    </row>
    <row r="1127" spans="1:31">
      <c r="A1127" s="2160" t="s">
        <v>2113</v>
      </c>
      <c r="B1127" s="2160"/>
      <c r="C1127" s="2160"/>
      <c r="D1127" s="2160"/>
      <c r="E1127" s="2160"/>
      <c r="F1127" s="2160"/>
      <c r="G1127" s="2160"/>
      <c r="H1127" s="2160"/>
      <c r="I1127" s="1038"/>
      <c r="J1127" s="1038"/>
      <c r="K1127" s="1038"/>
    </row>
    <row r="1128" spans="1:31">
      <c r="A1128" s="71" t="s">
        <v>2114</v>
      </c>
    </row>
    <row r="1129" spans="1:31" s="12" customFormat="1">
      <c r="A1129" s="2092" t="s">
        <v>5</v>
      </c>
      <c r="B1129" s="2092" t="s">
        <v>6</v>
      </c>
      <c r="C1129" s="2094" t="s">
        <v>7</v>
      </c>
      <c r="D1129" s="2096" t="s">
        <v>8</v>
      </c>
      <c r="E1129" s="2092" t="s">
        <v>9</v>
      </c>
      <c r="F1129" s="2098" t="s">
        <v>10</v>
      </c>
      <c r="G1129" s="2098"/>
      <c r="H1129" s="2098"/>
      <c r="I1129" s="2098" t="s">
        <v>11</v>
      </c>
      <c r="J1129" s="2098"/>
      <c r="K1129" s="2098"/>
      <c r="L1129" s="2099" t="s">
        <v>12</v>
      </c>
      <c r="M1129" s="9"/>
      <c r="N1129" s="9"/>
      <c r="O1129" s="9"/>
      <c r="P1129" s="2101" t="s">
        <v>13</v>
      </c>
      <c r="Q1129" s="2265" t="s">
        <v>4740</v>
      </c>
      <c r="R1129" s="2319" t="s">
        <v>4754</v>
      </c>
      <c r="S1129" s="2267" t="s">
        <v>4767</v>
      </c>
      <c r="T1129" s="2268"/>
      <c r="U1129" s="2268"/>
      <c r="V1129" s="2268"/>
      <c r="W1129" s="2269"/>
      <c r="X1129" s="2267" t="s">
        <v>4768</v>
      </c>
      <c r="Y1129" s="2268"/>
      <c r="Z1129" s="2268"/>
      <c r="AA1129" s="2268"/>
      <c r="AB1129" s="2268"/>
      <c r="AC1129" s="2268"/>
      <c r="AD1129" s="2268"/>
      <c r="AE1129" s="2269"/>
    </row>
    <row r="1130" spans="1:31" s="16" customFormat="1" ht="27">
      <c r="A1130" s="2093"/>
      <c r="B1130" s="2093"/>
      <c r="C1130" s="2095"/>
      <c r="D1130" s="2097"/>
      <c r="E1130" s="2093"/>
      <c r="F1130" s="13" t="s">
        <v>14</v>
      </c>
      <c r="G1130" s="13" t="s">
        <v>15</v>
      </c>
      <c r="H1130" s="13" t="s">
        <v>16</v>
      </c>
      <c r="I1130" s="13" t="s">
        <v>14</v>
      </c>
      <c r="J1130" s="13" t="s">
        <v>15</v>
      </c>
      <c r="K1130" s="13" t="s">
        <v>16</v>
      </c>
      <c r="L1130" s="2100"/>
      <c r="M1130" s="14" t="s">
        <v>17</v>
      </c>
      <c r="N1130" s="14" t="s">
        <v>18</v>
      </c>
      <c r="O1130" s="14" t="s">
        <v>19</v>
      </c>
      <c r="P1130" s="2102"/>
      <c r="Q1130" s="2266"/>
      <c r="R1130" s="2320"/>
      <c r="S1130" s="2263" t="s">
        <v>4755</v>
      </c>
      <c r="T1130" s="2263" t="s">
        <v>4756</v>
      </c>
      <c r="U1130" s="2263" t="s">
        <v>4757</v>
      </c>
      <c r="V1130" s="2263" t="s">
        <v>4758</v>
      </c>
      <c r="W1130" s="2263" t="s">
        <v>4759</v>
      </c>
      <c r="X1130" s="2264" t="s">
        <v>4760</v>
      </c>
      <c r="Y1130" s="2264" t="s">
        <v>4761</v>
      </c>
      <c r="Z1130" s="2264" t="s">
        <v>4762</v>
      </c>
      <c r="AA1130" s="2264" t="s">
        <v>4763</v>
      </c>
      <c r="AB1130" s="2264" t="s">
        <v>4764</v>
      </c>
      <c r="AC1130" s="2264" t="s">
        <v>4765</v>
      </c>
      <c r="AD1130" s="2264" t="s">
        <v>4766</v>
      </c>
      <c r="AE1130" s="2264" t="s">
        <v>4755</v>
      </c>
    </row>
    <row r="1131" spans="1:31" s="70" customFormat="1">
      <c r="A1131" s="331">
        <v>1</v>
      </c>
      <c r="B1131" s="331">
        <v>2</v>
      </c>
      <c r="C1131" s="63">
        <v>3</v>
      </c>
      <c r="D1131" s="331">
        <v>4</v>
      </c>
      <c r="E1131" s="331">
        <v>5</v>
      </c>
      <c r="F1131" s="57">
        <v>6</v>
      </c>
      <c r="G1131" s="57">
        <v>7</v>
      </c>
      <c r="H1131" s="331">
        <v>8</v>
      </c>
      <c r="I1131" s="331">
        <v>9</v>
      </c>
      <c r="J1131" s="331">
        <v>10</v>
      </c>
      <c r="K1131" s="331">
        <v>11</v>
      </c>
      <c r="L1131" s="331">
        <v>12</v>
      </c>
      <c r="M1131" s="331">
        <v>9</v>
      </c>
      <c r="N1131" s="331">
        <v>10</v>
      </c>
      <c r="O1131" s="331">
        <v>11</v>
      </c>
      <c r="P1131" s="21">
        <v>13</v>
      </c>
      <c r="Q1131" s="22"/>
      <c r="R1131" s="2321"/>
      <c r="S1131" s="485"/>
    </row>
    <row r="1132" spans="1:31" ht="18">
      <c r="A1132" s="682">
        <v>814</v>
      </c>
      <c r="B1132" s="1039">
        <v>1</v>
      </c>
      <c r="C1132" s="280" t="s">
        <v>2115</v>
      </c>
      <c r="D1132" s="1039" t="s">
        <v>539</v>
      </c>
      <c r="E1132" s="1039" t="s">
        <v>1484</v>
      </c>
      <c r="F1132" s="1040">
        <v>10</v>
      </c>
      <c r="G1132" s="1040">
        <v>12500000</v>
      </c>
      <c r="H1132" s="1040">
        <f t="shared" ref="H1132:H1154" si="155">F1132*G1132</f>
        <v>125000000</v>
      </c>
      <c r="I1132" s="891">
        <v>10</v>
      </c>
      <c r="J1132" s="682">
        <v>14000000</v>
      </c>
      <c r="K1132" s="682">
        <f>I1132*J1132</f>
        <v>140000000</v>
      </c>
      <c r="L1132" s="682">
        <f t="shared" ref="L1132:L1154" si="156">J1132-G1132</f>
        <v>1500000</v>
      </c>
      <c r="M1132" s="280" t="s">
        <v>2116</v>
      </c>
      <c r="N1132" s="1041" t="s">
        <v>2117</v>
      </c>
      <c r="O1132" s="280">
        <v>1</v>
      </c>
      <c r="P1132" s="400" t="s">
        <v>2118</v>
      </c>
      <c r="Q1132" s="2084">
        <f t="shared" ref="Q1132" si="157">R1132/F1132</f>
        <v>1</v>
      </c>
      <c r="R1132" s="2332">
        <f t="shared" ref="R1132" si="158">+F1132-(S1132+T1132+U1132+W1132+X1132+Y1132+Z1132+AA1132+AB1132+AC1132+AD1132+AE1132)</f>
        <v>10</v>
      </c>
      <c r="S1132" s="2086"/>
      <c r="T1132" s="2086"/>
      <c r="U1132" s="2086"/>
      <c r="V1132" s="2086"/>
      <c r="W1132" s="2087"/>
      <c r="X1132" s="2088"/>
      <c r="Y1132" s="2089"/>
      <c r="Z1132" s="2085"/>
      <c r="AA1132" s="2085"/>
      <c r="AB1132" s="2085"/>
      <c r="AC1132" s="2085"/>
      <c r="AD1132" s="2085"/>
      <c r="AE1132" s="2089"/>
    </row>
    <row r="1133" spans="1:31" ht="27">
      <c r="A1133" s="692">
        <v>815</v>
      </c>
      <c r="B1133" s="1042">
        <v>2</v>
      </c>
      <c r="C1133" s="289" t="s">
        <v>2119</v>
      </c>
      <c r="D1133" s="1042" t="s">
        <v>539</v>
      </c>
      <c r="E1133" s="1042" t="s">
        <v>1484</v>
      </c>
      <c r="F1133" s="1043">
        <v>25</v>
      </c>
      <c r="G1133" s="1043">
        <v>7500000</v>
      </c>
      <c r="H1133" s="1043">
        <f t="shared" si="155"/>
        <v>187500000</v>
      </c>
      <c r="I1133" s="896">
        <v>25</v>
      </c>
      <c r="J1133" s="692">
        <v>8500000</v>
      </c>
      <c r="K1133" s="692">
        <f t="shared" ref="K1133:K1154" si="159">I1133*J1133</f>
        <v>212500000</v>
      </c>
      <c r="L1133" s="692">
        <f t="shared" si="156"/>
        <v>1000000</v>
      </c>
      <c r="M1133" s="289" t="s">
        <v>2116</v>
      </c>
      <c r="N1133" s="1044" t="s">
        <v>2120</v>
      </c>
      <c r="O1133" s="289">
        <v>1</v>
      </c>
      <c r="P1133" s="403" t="s">
        <v>2118</v>
      </c>
      <c r="Q1133" s="2084">
        <f t="shared" ref="Q1133:Q1139" si="160">R1133/F1133</f>
        <v>1</v>
      </c>
      <c r="R1133" s="2332">
        <f t="shared" ref="R1133:R1139" si="161">+F1133-(S1133+T1133+U1133+W1133+X1133+Y1133+Z1133+AA1133+AB1133+AC1133+AD1133+AE1133)</f>
        <v>25</v>
      </c>
      <c r="S1133" s="2086"/>
      <c r="T1133" s="2086"/>
      <c r="U1133" s="2086"/>
      <c r="V1133" s="2086"/>
      <c r="W1133" s="2087"/>
      <c r="X1133" s="2088"/>
      <c r="Y1133" s="2089"/>
      <c r="Z1133" s="2085"/>
      <c r="AA1133" s="2085"/>
      <c r="AB1133" s="2085"/>
      <c r="AC1133" s="2085"/>
      <c r="AD1133" s="2085"/>
      <c r="AE1133" s="2089"/>
    </row>
    <row r="1134" spans="1:31" ht="18">
      <c r="A1134" s="692">
        <v>816</v>
      </c>
      <c r="B1134" s="1042">
        <v>3</v>
      </c>
      <c r="C1134" s="289" t="s">
        <v>2121</v>
      </c>
      <c r="D1134" s="1042" t="s">
        <v>539</v>
      </c>
      <c r="E1134" s="1042" t="s">
        <v>1484</v>
      </c>
      <c r="F1134" s="1043">
        <v>25</v>
      </c>
      <c r="G1134" s="1043">
        <v>8900000</v>
      </c>
      <c r="H1134" s="1043">
        <f t="shared" si="155"/>
        <v>222500000</v>
      </c>
      <c r="I1134" s="896">
        <v>25</v>
      </c>
      <c r="J1134" s="692">
        <v>9900000</v>
      </c>
      <c r="K1134" s="692">
        <f t="shared" si="159"/>
        <v>247500000</v>
      </c>
      <c r="L1134" s="692">
        <f t="shared" si="156"/>
        <v>1000000</v>
      </c>
      <c r="M1134" s="289" t="s">
        <v>2116</v>
      </c>
      <c r="N1134" s="1044" t="s">
        <v>2122</v>
      </c>
      <c r="O1134" s="289">
        <v>1</v>
      </c>
      <c r="P1134" s="403" t="s">
        <v>2118</v>
      </c>
      <c r="Q1134" s="2084">
        <f t="shared" si="160"/>
        <v>1</v>
      </c>
      <c r="R1134" s="2332">
        <f t="shared" si="161"/>
        <v>25</v>
      </c>
      <c r="S1134" s="2086"/>
      <c r="T1134" s="2086"/>
      <c r="U1134" s="2086"/>
      <c r="V1134" s="2086"/>
      <c r="W1134" s="2087"/>
      <c r="X1134" s="2088"/>
      <c r="Y1134" s="2089"/>
      <c r="Z1134" s="2085"/>
      <c r="AA1134" s="2085"/>
      <c r="AB1134" s="2085"/>
      <c r="AC1134" s="2085"/>
      <c r="AD1134" s="2085"/>
      <c r="AE1134" s="2089"/>
    </row>
    <row r="1135" spans="1:31" ht="27">
      <c r="A1135" s="692">
        <v>817</v>
      </c>
      <c r="B1135" s="1042">
        <v>4</v>
      </c>
      <c r="C1135" s="289" t="s">
        <v>2123</v>
      </c>
      <c r="D1135" s="1042" t="s">
        <v>539</v>
      </c>
      <c r="E1135" s="1042" t="s">
        <v>1484</v>
      </c>
      <c r="F1135" s="1043">
        <v>25</v>
      </c>
      <c r="G1135" s="1043">
        <v>8900000</v>
      </c>
      <c r="H1135" s="1043">
        <f t="shared" si="155"/>
        <v>222500000</v>
      </c>
      <c r="I1135" s="896">
        <v>25</v>
      </c>
      <c r="J1135" s="692">
        <v>9900000</v>
      </c>
      <c r="K1135" s="692">
        <f t="shared" si="159"/>
        <v>247500000</v>
      </c>
      <c r="L1135" s="692">
        <f t="shared" si="156"/>
        <v>1000000</v>
      </c>
      <c r="M1135" s="289" t="s">
        <v>2116</v>
      </c>
      <c r="N1135" s="1044" t="s">
        <v>2122</v>
      </c>
      <c r="O1135" s="289">
        <v>1</v>
      </c>
      <c r="P1135" s="403" t="s">
        <v>2118</v>
      </c>
      <c r="Q1135" s="2084">
        <f t="shared" si="160"/>
        <v>1</v>
      </c>
      <c r="R1135" s="2332">
        <f t="shared" si="161"/>
        <v>25</v>
      </c>
      <c r="S1135" s="2086"/>
      <c r="T1135" s="2086"/>
      <c r="U1135" s="2086"/>
      <c r="V1135" s="2086"/>
      <c r="W1135" s="2087"/>
      <c r="X1135" s="2088"/>
      <c r="Y1135" s="2089"/>
      <c r="Z1135" s="2085"/>
      <c r="AA1135" s="2085"/>
      <c r="AB1135" s="2085"/>
      <c r="AC1135" s="2085"/>
      <c r="AD1135" s="2085"/>
      <c r="AE1135" s="2089"/>
    </row>
    <row r="1136" spans="1:31" ht="18">
      <c r="A1136" s="692">
        <v>818</v>
      </c>
      <c r="B1136" s="1042">
        <v>5</v>
      </c>
      <c r="C1136" s="289" t="s">
        <v>2124</v>
      </c>
      <c r="D1136" s="1042" t="s">
        <v>539</v>
      </c>
      <c r="E1136" s="1042" t="s">
        <v>1484</v>
      </c>
      <c r="F1136" s="1043">
        <v>20</v>
      </c>
      <c r="G1136" s="1043">
        <v>8900000</v>
      </c>
      <c r="H1136" s="1043">
        <f t="shared" si="155"/>
        <v>178000000</v>
      </c>
      <c r="I1136" s="896">
        <v>20</v>
      </c>
      <c r="J1136" s="692">
        <v>9900000</v>
      </c>
      <c r="K1136" s="692">
        <f t="shared" si="159"/>
        <v>198000000</v>
      </c>
      <c r="L1136" s="692">
        <f t="shared" si="156"/>
        <v>1000000</v>
      </c>
      <c r="M1136" s="289" t="s">
        <v>2116</v>
      </c>
      <c r="N1136" s="289" t="s">
        <v>2122</v>
      </c>
      <c r="O1136" s="289">
        <v>1</v>
      </c>
      <c r="P1136" s="403" t="s">
        <v>2118</v>
      </c>
      <c r="Q1136" s="2084">
        <f t="shared" si="160"/>
        <v>1</v>
      </c>
      <c r="R1136" s="2332">
        <f t="shared" si="161"/>
        <v>20</v>
      </c>
      <c r="S1136" s="2086"/>
      <c r="T1136" s="2086"/>
      <c r="U1136" s="2086"/>
      <c r="V1136" s="2086"/>
      <c r="W1136" s="2087"/>
      <c r="X1136" s="2088"/>
      <c r="Y1136" s="2089"/>
      <c r="Z1136" s="2085"/>
      <c r="AA1136" s="2085"/>
      <c r="AB1136" s="2085"/>
      <c r="AC1136" s="2085"/>
      <c r="AD1136" s="2085"/>
      <c r="AE1136" s="2089"/>
    </row>
    <row r="1137" spans="1:31" ht="18">
      <c r="A1137" s="692">
        <v>819</v>
      </c>
      <c r="B1137" s="1042">
        <v>6</v>
      </c>
      <c r="C1137" s="289" t="s">
        <v>2125</v>
      </c>
      <c r="D1137" s="1042" t="s">
        <v>539</v>
      </c>
      <c r="E1137" s="1042" t="s">
        <v>1484</v>
      </c>
      <c r="F1137" s="1043">
        <v>25</v>
      </c>
      <c r="G1137" s="1043">
        <v>2000000</v>
      </c>
      <c r="H1137" s="1043">
        <f t="shared" si="155"/>
        <v>50000000</v>
      </c>
      <c r="I1137" s="896">
        <v>25</v>
      </c>
      <c r="J1137" s="692">
        <v>3500000</v>
      </c>
      <c r="K1137" s="692">
        <f t="shared" si="159"/>
        <v>87500000</v>
      </c>
      <c r="L1137" s="692">
        <f t="shared" si="156"/>
        <v>1500000</v>
      </c>
      <c r="M1137" s="289" t="s">
        <v>2116</v>
      </c>
      <c r="N1137" s="1044" t="s">
        <v>2126</v>
      </c>
      <c r="O1137" s="289">
        <v>1</v>
      </c>
      <c r="P1137" s="403" t="s">
        <v>2118</v>
      </c>
      <c r="Q1137" s="2084">
        <f t="shared" si="160"/>
        <v>1</v>
      </c>
      <c r="R1137" s="2332">
        <f t="shared" si="161"/>
        <v>25</v>
      </c>
      <c r="S1137" s="2086"/>
      <c r="T1137" s="2086"/>
      <c r="U1137" s="2086"/>
      <c r="V1137" s="2086"/>
      <c r="W1137" s="2087"/>
      <c r="X1137" s="2088"/>
      <c r="Y1137" s="2089"/>
      <c r="Z1137" s="2085"/>
      <c r="AA1137" s="2085"/>
      <c r="AB1137" s="2085"/>
      <c r="AC1137" s="2085"/>
      <c r="AD1137" s="2085"/>
      <c r="AE1137" s="2089"/>
    </row>
    <row r="1138" spans="1:31" ht="18">
      <c r="A1138" s="692">
        <v>820</v>
      </c>
      <c r="B1138" s="1042">
        <v>7</v>
      </c>
      <c r="C1138" s="289" t="s">
        <v>2127</v>
      </c>
      <c r="D1138" s="1042" t="s">
        <v>539</v>
      </c>
      <c r="E1138" s="1042" t="s">
        <v>1484</v>
      </c>
      <c r="F1138" s="1043">
        <v>25</v>
      </c>
      <c r="G1138" s="1043">
        <v>5800000</v>
      </c>
      <c r="H1138" s="1043">
        <f t="shared" si="155"/>
        <v>145000000</v>
      </c>
      <c r="I1138" s="896">
        <v>25</v>
      </c>
      <c r="J1138" s="692">
        <v>7000000</v>
      </c>
      <c r="K1138" s="692">
        <f t="shared" si="159"/>
        <v>175000000</v>
      </c>
      <c r="L1138" s="692">
        <f t="shared" si="156"/>
        <v>1200000</v>
      </c>
      <c r="M1138" s="289" t="s">
        <v>2116</v>
      </c>
      <c r="N1138" s="727" t="s">
        <v>2128</v>
      </c>
      <c r="O1138" s="289">
        <v>1</v>
      </c>
      <c r="P1138" s="403" t="s">
        <v>2118</v>
      </c>
      <c r="Q1138" s="2084">
        <f t="shared" si="160"/>
        <v>1</v>
      </c>
      <c r="R1138" s="2332">
        <f t="shared" si="161"/>
        <v>25</v>
      </c>
      <c r="S1138" s="2086"/>
      <c r="T1138" s="2086"/>
      <c r="U1138" s="2086"/>
      <c r="V1138" s="2086"/>
      <c r="W1138" s="2087"/>
      <c r="X1138" s="2088"/>
      <c r="Y1138" s="2089"/>
      <c r="Z1138" s="2085"/>
      <c r="AA1138" s="2085"/>
      <c r="AB1138" s="2085"/>
      <c r="AC1138" s="2085"/>
      <c r="AD1138" s="2085"/>
      <c r="AE1138" s="2089"/>
    </row>
    <row r="1139" spans="1:31" ht="36">
      <c r="A1139" s="692">
        <v>821</v>
      </c>
      <c r="B1139" s="1042">
        <v>8</v>
      </c>
      <c r="C1139" s="289" t="s">
        <v>2129</v>
      </c>
      <c r="D1139" s="1042" t="s">
        <v>539</v>
      </c>
      <c r="E1139" s="1042" t="s">
        <v>1484</v>
      </c>
      <c r="F1139" s="1043">
        <v>50</v>
      </c>
      <c r="G1139" s="1043">
        <v>1600000</v>
      </c>
      <c r="H1139" s="1043">
        <f t="shared" si="155"/>
        <v>80000000</v>
      </c>
      <c r="I1139" s="896">
        <v>50</v>
      </c>
      <c r="J1139" s="692">
        <v>2300000</v>
      </c>
      <c r="K1139" s="692">
        <f t="shared" si="159"/>
        <v>115000000</v>
      </c>
      <c r="L1139" s="692">
        <f t="shared" si="156"/>
        <v>700000</v>
      </c>
      <c r="M1139" s="289" t="s">
        <v>2116</v>
      </c>
      <c r="N1139" s="1044" t="s">
        <v>2130</v>
      </c>
      <c r="O1139" s="289">
        <v>1</v>
      </c>
      <c r="P1139" s="403" t="s">
        <v>2118</v>
      </c>
      <c r="Q1139" s="2084">
        <f t="shared" si="160"/>
        <v>1</v>
      </c>
      <c r="R1139" s="2332">
        <f t="shared" si="161"/>
        <v>50</v>
      </c>
      <c r="S1139" s="2086"/>
      <c r="T1139" s="2086"/>
      <c r="U1139" s="2086"/>
      <c r="V1139" s="2086"/>
      <c r="W1139" s="2087"/>
      <c r="X1139" s="2088"/>
      <c r="Y1139" s="2089"/>
      <c r="Z1139" s="2085"/>
      <c r="AA1139" s="2085"/>
      <c r="AB1139" s="2085"/>
      <c r="AC1139" s="2085"/>
      <c r="AD1139" s="2085"/>
      <c r="AE1139" s="2089"/>
    </row>
    <row r="1140" spans="1:31" ht="27">
      <c r="A1140" s="692">
        <v>822</v>
      </c>
      <c r="B1140" s="1042">
        <v>9</v>
      </c>
      <c r="C1140" s="289" t="s">
        <v>2131</v>
      </c>
      <c r="D1140" s="1042" t="s">
        <v>539</v>
      </c>
      <c r="E1140" s="1042" t="s">
        <v>1484</v>
      </c>
      <c r="F1140" s="1043">
        <v>100</v>
      </c>
      <c r="G1140" s="1043">
        <v>6650000</v>
      </c>
      <c r="H1140" s="1043">
        <f t="shared" si="155"/>
        <v>665000000</v>
      </c>
      <c r="I1140" s="896">
        <v>100</v>
      </c>
      <c r="J1140" s="692">
        <v>8000000</v>
      </c>
      <c r="K1140" s="692">
        <f t="shared" si="159"/>
        <v>800000000</v>
      </c>
      <c r="L1140" s="692">
        <f t="shared" si="156"/>
        <v>1350000</v>
      </c>
      <c r="M1140" s="289" t="s">
        <v>2116</v>
      </c>
      <c r="N1140" s="1044" t="s">
        <v>2132</v>
      </c>
      <c r="O1140" s="289">
        <v>1</v>
      </c>
      <c r="P1140" s="403" t="s">
        <v>2118</v>
      </c>
      <c r="Q1140" s="2084">
        <f t="shared" ref="Q1140:Q1154" si="162">R1140/F1140</f>
        <v>0.95</v>
      </c>
      <c r="R1140" s="2332">
        <f t="shared" ref="R1140:R1154" si="163">+F1140-(S1140+T1140+U1140+W1140+X1140+Y1140+Z1140+AA1140+AB1140+AC1140+AD1140+AE1140)</f>
        <v>95</v>
      </c>
      <c r="S1140" s="2086">
        <v>5</v>
      </c>
      <c r="T1140" s="2086"/>
      <c r="U1140" s="2086"/>
      <c r="V1140" s="2086"/>
      <c r="W1140" s="2087"/>
      <c r="X1140" s="2088"/>
      <c r="Y1140" s="2089"/>
      <c r="Z1140" s="2085"/>
      <c r="AA1140" s="2085"/>
      <c r="AB1140" s="2085"/>
      <c r="AC1140" s="2085"/>
      <c r="AD1140" s="2085"/>
      <c r="AE1140" s="2089"/>
    </row>
    <row r="1141" spans="1:31" ht="27">
      <c r="A1141" s="692">
        <v>823</v>
      </c>
      <c r="B1141" s="1042">
        <v>10</v>
      </c>
      <c r="C1141" s="289" t="s">
        <v>2133</v>
      </c>
      <c r="D1141" s="1042" t="s">
        <v>539</v>
      </c>
      <c r="E1141" s="1042" t="s">
        <v>1484</v>
      </c>
      <c r="F1141" s="1043">
        <v>10</v>
      </c>
      <c r="G1141" s="1043">
        <v>450000</v>
      </c>
      <c r="H1141" s="1043">
        <f t="shared" si="155"/>
        <v>4500000</v>
      </c>
      <c r="I1141" s="896">
        <v>10</v>
      </c>
      <c r="J1141" s="692">
        <v>5500000</v>
      </c>
      <c r="K1141" s="692">
        <f t="shared" si="159"/>
        <v>55000000</v>
      </c>
      <c r="L1141" s="692">
        <f t="shared" si="156"/>
        <v>5050000</v>
      </c>
      <c r="M1141" s="289" t="s">
        <v>2116</v>
      </c>
      <c r="N1141" s="403" t="s">
        <v>2134</v>
      </c>
      <c r="O1141" s="289">
        <v>1</v>
      </c>
      <c r="P1141" s="403" t="s">
        <v>2118</v>
      </c>
      <c r="Q1141" s="2084">
        <f t="shared" si="162"/>
        <v>1</v>
      </c>
      <c r="R1141" s="2332">
        <f t="shared" si="163"/>
        <v>10</v>
      </c>
      <c r="S1141" s="2086"/>
      <c r="T1141" s="2086"/>
      <c r="U1141" s="2086"/>
      <c r="V1141" s="2086"/>
      <c r="W1141" s="2087"/>
      <c r="X1141" s="2088"/>
      <c r="Y1141" s="2089"/>
      <c r="Z1141" s="2085"/>
      <c r="AA1141" s="2085"/>
      <c r="AB1141" s="2085"/>
      <c r="AC1141" s="2085"/>
      <c r="AD1141" s="2085"/>
      <c r="AE1141" s="2089"/>
    </row>
    <row r="1142" spans="1:31" ht="18">
      <c r="A1142" s="692">
        <v>824</v>
      </c>
      <c r="B1142" s="1042">
        <v>11</v>
      </c>
      <c r="C1142" s="1045" t="s">
        <v>2135</v>
      </c>
      <c r="D1142" s="1042" t="s">
        <v>539</v>
      </c>
      <c r="E1142" s="1042" t="s">
        <v>1484</v>
      </c>
      <c r="F1142" s="1043">
        <v>50</v>
      </c>
      <c r="G1142" s="1043">
        <v>4500000</v>
      </c>
      <c r="H1142" s="1043">
        <f t="shared" si="155"/>
        <v>225000000</v>
      </c>
      <c r="I1142" s="896">
        <v>50</v>
      </c>
      <c r="J1142" s="692">
        <v>5500000</v>
      </c>
      <c r="K1142" s="692">
        <f t="shared" si="159"/>
        <v>275000000</v>
      </c>
      <c r="L1142" s="692">
        <f t="shared" si="156"/>
        <v>1000000</v>
      </c>
      <c r="M1142" s="289" t="s">
        <v>2116</v>
      </c>
      <c r="N1142" s="289" t="s">
        <v>2136</v>
      </c>
      <c r="O1142" s="289">
        <v>1</v>
      </c>
      <c r="P1142" s="403" t="s">
        <v>2118</v>
      </c>
      <c r="Q1142" s="2084">
        <f t="shared" si="162"/>
        <v>1</v>
      </c>
      <c r="R1142" s="2332">
        <f t="shared" si="163"/>
        <v>50</v>
      </c>
      <c r="S1142" s="2086"/>
      <c r="T1142" s="2086"/>
      <c r="U1142" s="2086"/>
      <c r="V1142" s="2086"/>
      <c r="W1142" s="2087"/>
      <c r="X1142" s="2088"/>
      <c r="Y1142" s="2089"/>
      <c r="Z1142" s="2085"/>
      <c r="AA1142" s="2085"/>
      <c r="AB1142" s="2085"/>
      <c r="AC1142" s="2085"/>
      <c r="AD1142" s="2085"/>
      <c r="AE1142" s="2089"/>
    </row>
    <row r="1143" spans="1:31" ht="27">
      <c r="A1143" s="692">
        <v>825</v>
      </c>
      <c r="B1143" s="1042">
        <v>12</v>
      </c>
      <c r="C1143" s="289" t="s">
        <v>2137</v>
      </c>
      <c r="D1143" s="1042" t="s">
        <v>539</v>
      </c>
      <c r="E1143" s="1042" t="s">
        <v>1484</v>
      </c>
      <c r="F1143" s="1043">
        <v>50</v>
      </c>
      <c r="G1143" s="1043">
        <v>2200000</v>
      </c>
      <c r="H1143" s="1043">
        <f t="shared" si="155"/>
        <v>110000000</v>
      </c>
      <c r="I1143" s="896">
        <v>50</v>
      </c>
      <c r="J1143" s="692">
        <v>2500000</v>
      </c>
      <c r="K1143" s="692">
        <f t="shared" si="159"/>
        <v>125000000</v>
      </c>
      <c r="L1143" s="692">
        <f t="shared" si="156"/>
        <v>300000</v>
      </c>
      <c r="M1143" s="289" t="s">
        <v>2138</v>
      </c>
      <c r="N1143" s="1044" t="s">
        <v>2139</v>
      </c>
      <c r="O1143" s="289">
        <v>1</v>
      </c>
      <c r="P1143" s="403" t="s">
        <v>2118</v>
      </c>
      <c r="Q1143" s="2084">
        <f t="shared" si="162"/>
        <v>1</v>
      </c>
      <c r="R1143" s="2332">
        <f t="shared" si="163"/>
        <v>50</v>
      </c>
      <c r="S1143" s="2086"/>
      <c r="T1143" s="2086"/>
      <c r="U1143" s="2086"/>
      <c r="V1143" s="2086"/>
      <c r="W1143" s="2087"/>
      <c r="X1143" s="2088"/>
      <c r="Y1143" s="2089"/>
      <c r="Z1143" s="2085"/>
      <c r="AA1143" s="2085"/>
      <c r="AB1143" s="2085"/>
      <c r="AC1143" s="2085"/>
      <c r="AD1143" s="2085"/>
      <c r="AE1143" s="2089"/>
    </row>
    <row r="1144" spans="1:31" ht="18">
      <c r="A1144" s="692">
        <v>826</v>
      </c>
      <c r="B1144" s="1042">
        <v>13</v>
      </c>
      <c r="C1144" s="289" t="s">
        <v>2140</v>
      </c>
      <c r="D1144" s="1042" t="s">
        <v>539</v>
      </c>
      <c r="E1144" s="1042" t="s">
        <v>1484</v>
      </c>
      <c r="F1144" s="1043">
        <v>20</v>
      </c>
      <c r="G1144" s="1043">
        <v>1800000</v>
      </c>
      <c r="H1144" s="1043">
        <f t="shared" si="155"/>
        <v>36000000</v>
      </c>
      <c r="I1144" s="896">
        <v>20</v>
      </c>
      <c r="J1144" s="692">
        <v>2200000</v>
      </c>
      <c r="K1144" s="692">
        <f t="shared" si="159"/>
        <v>44000000</v>
      </c>
      <c r="L1144" s="692">
        <f t="shared" si="156"/>
        <v>400000</v>
      </c>
      <c r="M1144" s="289" t="s">
        <v>2141</v>
      </c>
      <c r="N1144" s="289" t="s">
        <v>2142</v>
      </c>
      <c r="O1144" s="289">
        <v>1</v>
      </c>
      <c r="P1144" s="403" t="s">
        <v>2118</v>
      </c>
      <c r="Q1144" s="2084">
        <f t="shared" si="162"/>
        <v>1</v>
      </c>
      <c r="R1144" s="2332">
        <f t="shared" si="163"/>
        <v>20</v>
      </c>
      <c r="S1144" s="2086"/>
      <c r="T1144" s="2086"/>
      <c r="U1144" s="2086"/>
      <c r="V1144" s="2086"/>
      <c r="W1144" s="2087"/>
      <c r="X1144" s="2088"/>
      <c r="Y1144" s="2089"/>
      <c r="Z1144" s="2085"/>
      <c r="AA1144" s="2085"/>
      <c r="AB1144" s="2085"/>
      <c r="AC1144" s="2085"/>
      <c r="AD1144" s="2085"/>
      <c r="AE1144" s="2089"/>
    </row>
    <row r="1145" spans="1:31" ht="18">
      <c r="A1145" s="692">
        <v>827</v>
      </c>
      <c r="B1145" s="1042">
        <v>14</v>
      </c>
      <c r="C1145" s="289" t="s">
        <v>2143</v>
      </c>
      <c r="D1145" s="1042" t="s">
        <v>539</v>
      </c>
      <c r="E1145" s="1042" t="s">
        <v>1484</v>
      </c>
      <c r="F1145" s="1043">
        <v>100</v>
      </c>
      <c r="G1145" s="1043">
        <v>7500000</v>
      </c>
      <c r="H1145" s="1043">
        <f t="shared" si="155"/>
        <v>750000000</v>
      </c>
      <c r="I1145" s="896">
        <v>100</v>
      </c>
      <c r="J1145" s="692">
        <v>9000000</v>
      </c>
      <c r="K1145" s="692">
        <f t="shared" si="159"/>
        <v>900000000</v>
      </c>
      <c r="L1145" s="692">
        <f t="shared" si="156"/>
        <v>1500000</v>
      </c>
      <c r="M1145" s="289" t="s">
        <v>2116</v>
      </c>
      <c r="N1145" s="1046" t="s">
        <v>2144</v>
      </c>
      <c r="O1145" s="289">
        <v>1</v>
      </c>
      <c r="P1145" s="403" t="s">
        <v>2118</v>
      </c>
      <c r="Q1145" s="2084">
        <f t="shared" si="162"/>
        <v>1</v>
      </c>
      <c r="R1145" s="2332">
        <f t="shared" si="163"/>
        <v>100</v>
      </c>
      <c r="S1145" s="2086"/>
      <c r="T1145" s="2086"/>
      <c r="U1145" s="2086"/>
      <c r="V1145" s="2086"/>
      <c r="W1145" s="2087"/>
      <c r="X1145" s="2088"/>
      <c r="Y1145" s="2089"/>
      <c r="Z1145" s="2085"/>
      <c r="AA1145" s="2085"/>
      <c r="AB1145" s="2085"/>
      <c r="AC1145" s="2085"/>
      <c r="AD1145" s="2085"/>
      <c r="AE1145" s="2089"/>
    </row>
    <row r="1146" spans="1:31" ht="18">
      <c r="A1146" s="692">
        <v>828</v>
      </c>
      <c r="B1146" s="1042">
        <v>15</v>
      </c>
      <c r="C1146" s="289" t="s">
        <v>2145</v>
      </c>
      <c r="D1146" s="1042" t="s">
        <v>539</v>
      </c>
      <c r="E1146" s="1042" t="s">
        <v>1484</v>
      </c>
      <c r="F1146" s="1043">
        <v>50</v>
      </c>
      <c r="G1146" s="1043">
        <v>7950000</v>
      </c>
      <c r="H1146" s="1043">
        <f t="shared" si="155"/>
        <v>397500000</v>
      </c>
      <c r="I1146" s="896">
        <v>50</v>
      </c>
      <c r="J1146" s="692">
        <v>9000000</v>
      </c>
      <c r="K1146" s="692">
        <f t="shared" si="159"/>
        <v>450000000</v>
      </c>
      <c r="L1146" s="692">
        <f t="shared" si="156"/>
        <v>1050000</v>
      </c>
      <c r="M1146" s="289" t="s">
        <v>2116</v>
      </c>
      <c r="N1146" s="1046" t="s">
        <v>2146</v>
      </c>
      <c r="O1146" s="289">
        <v>1</v>
      </c>
      <c r="P1146" s="403" t="s">
        <v>2118</v>
      </c>
      <c r="Q1146" s="2084">
        <f t="shared" si="162"/>
        <v>1</v>
      </c>
      <c r="R1146" s="2332">
        <f t="shared" si="163"/>
        <v>50</v>
      </c>
      <c r="S1146" s="2086"/>
      <c r="T1146" s="2086"/>
      <c r="U1146" s="2086"/>
      <c r="V1146" s="2086"/>
      <c r="W1146" s="2087"/>
      <c r="X1146" s="2088"/>
      <c r="Y1146" s="2089"/>
      <c r="Z1146" s="2085"/>
      <c r="AA1146" s="2085"/>
      <c r="AB1146" s="2085"/>
      <c r="AC1146" s="2085"/>
      <c r="AD1146" s="2085"/>
      <c r="AE1146" s="2089"/>
    </row>
    <row r="1147" spans="1:31" ht="18">
      <c r="A1147" s="692">
        <v>829</v>
      </c>
      <c r="B1147" s="1042">
        <v>16</v>
      </c>
      <c r="C1147" s="289" t="s">
        <v>2147</v>
      </c>
      <c r="D1147" s="1042" t="s">
        <v>539</v>
      </c>
      <c r="E1147" s="1042" t="s">
        <v>1484</v>
      </c>
      <c r="F1147" s="1043">
        <v>50</v>
      </c>
      <c r="G1147" s="1043">
        <v>850000</v>
      </c>
      <c r="H1147" s="1043">
        <f t="shared" si="155"/>
        <v>42500000</v>
      </c>
      <c r="I1147" s="896">
        <v>50</v>
      </c>
      <c r="J1147" s="692">
        <v>9000000</v>
      </c>
      <c r="K1147" s="692">
        <f t="shared" si="159"/>
        <v>450000000</v>
      </c>
      <c r="L1147" s="692">
        <f t="shared" si="156"/>
        <v>8150000</v>
      </c>
      <c r="M1147" s="289" t="s">
        <v>2116</v>
      </c>
      <c r="N1147" s="1046" t="s">
        <v>2148</v>
      </c>
      <c r="O1147" s="289">
        <v>1</v>
      </c>
      <c r="P1147" s="403" t="s">
        <v>2118</v>
      </c>
      <c r="Q1147" s="2084">
        <f t="shared" si="162"/>
        <v>1</v>
      </c>
      <c r="R1147" s="2332">
        <f t="shared" si="163"/>
        <v>50</v>
      </c>
      <c r="S1147" s="2086"/>
      <c r="T1147" s="2086"/>
      <c r="U1147" s="2086"/>
      <c r="V1147" s="2086"/>
      <c r="W1147" s="2087"/>
      <c r="X1147" s="2088"/>
      <c r="Y1147" s="2089"/>
      <c r="Z1147" s="2085"/>
      <c r="AA1147" s="2085"/>
      <c r="AB1147" s="2085"/>
      <c r="AC1147" s="2085"/>
      <c r="AD1147" s="2085"/>
      <c r="AE1147" s="2089"/>
    </row>
    <row r="1148" spans="1:31" ht="18">
      <c r="A1148" s="692">
        <v>830</v>
      </c>
      <c r="B1148" s="1042">
        <v>17</v>
      </c>
      <c r="C1148" s="289" t="s">
        <v>2149</v>
      </c>
      <c r="D1148" s="1042" t="s">
        <v>539</v>
      </c>
      <c r="E1148" s="1042" t="s">
        <v>1484</v>
      </c>
      <c r="F1148" s="1043">
        <v>2</v>
      </c>
      <c r="G1148" s="1043">
        <v>8900000</v>
      </c>
      <c r="H1148" s="1043">
        <f t="shared" si="155"/>
        <v>17800000</v>
      </c>
      <c r="I1148" s="896">
        <v>2</v>
      </c>
      <c r="J1148" s="692">
        <v>9900000</v>
      </c>
      <c r="K1148" s="692">
        <f t="shared" si="159"/>
        <v>19800000</v>
      </c>
      <c r="L1148" s="692">
        <f t="shared" si="156"/>
        <v>1000000</v>
      </c>
      <c r="M1148" s="289" t="s">
        <v>2116</v>
      </c>
      <c r="N1148" s="289" t="s">
        <v>2150</v>
      </c>
      <c r="O1148" s="289">
        <v>1</v>
      </c>
      <c r="P1148" s="403" t="s">
        <v>2118</v>
      </c>
      <c r="Q1148" s="2084">
        <f t="shared" si="162"/>
        <v>1</v>
      </c>
      <c r="R1148" s="2332">
        <f t="shared" si="163"/>
        <v>2</v>
      </c>
      <c r="S1148" s="2086"/>
      <c r="T1148" s="2086"/>
      <c r="U1148" s="2086"/>
      <c r="V1148" s="2086"/>
      <c r="W1148" s="2087"/>
      <c r="X1148" s="2088"/>
      <c r="Y1148" s="2089"/>
      <c r="Z1148" s="2085"/>
      <c r="AA1148" s="2085"/>
      <c r="AB1148" s="2085"/>
      <c r="AC1148" s="2085"/>
      <c r="AD1148" s="2085"/>
      <c r="AE1148" s="2089"/>
    </row>
    <row r="1149" spans="1:31" ht="18">
      <c r="A1149" s="692">
        <v>831</v>
      </c>
      <c r="B1149" s="1042">
        <v>18</v>
      </c>
      <c r="C1149" s="289" t="s">
        <v>2151</v>
      </c>
      <c r="D1149" s="1042" t="s">
        <v>653</v>
      </c>
      <c r="E1149" s="1042" t="s">
        <v>1484</v>
      </c>
      <c r="F1149" s="1043">
        <v>200</v>
      </c>
      <c r="G1149" s="1043">
        <v>242000</v>
      </c>
      <c r="H1149" s="1043">
        <f t="shared" si="155"/>
        <v>48400000</v>
      </c>
      <c r="I1149" s="896">
        <v>200</v>
      </c>
      <c r="J1149" s="692">
        <v>300000</v>
      </c>
      <c r="K1149" s="692">
        <f t="shared" si="159"/>
        <v>60000000</v>
      </c>
      <c r="L1149" s="692">
        <f t="shared" si="156"/>
        <v>58000</v>
      </c>
      <c r="M1149" s="289" t="s">
        <v>2152</v>
      </c>
      <c r="N1149" s="1045" t="s">
        <v>2153</v>
      </c>
      <c r="O1149" s="289">
        <v>1</v>
      </c>
      <c r="P1149" s="403" t="s">
        <v>2118</v>
      </c>
      <c r="Q1149" s="2084">
        <f t="shared" si="162"/>
        <v>1</v>
      </c>
      <c r="R1149" s="2332">
        <f t="shared" si="163"/>
        <v>200</v>
      </c>
      <c r="S1149" s="2086"/>
      <c r="T1149" s="2086"/>
      <c r="U1149" s="2086"/>
      <c r="V1149" s="2086"/>
      <c r="W1149" s="2087"/>
      <c r="X1149" s="2088"/>
      <c r="Y1149" s="2089"/>
      <c r="Z1149" s="2085"/>
      <c r="AA1149" s="2085"/>
      <c r="AB1149" s="2085"/>
      <c r="AC1149" s="2085"/>
      <c r="AD1149" s="2085"/>
      <c r="AE1149" s="2089"/>
    </row>
    <row r="1150" spans="1:31" ht="18">
      <c r="A1150" s="692">
        <v>832</v>
      </c>
      <c r="B1150" s="1042">
        <v>19</v>
      </c>
      <c r="C1150" s="289" t="s">
        <v>2154</v>
      </c>
      <c r="D1150" s="1042" t="s">
        <v>653</v>
      </c>
      <c r="E1150" s="1042" t="s">
        <v>1484</v>
      </c>
      <c r="F1150" s="1043">
        <v>200</v>
      </c>
      <c r="G1150" s="1043">
        <v>262000</v>
      </c>
      <c r="H1150" s="1043">
        <f t="shared" si="155"/>
        <v>52400000</v>
      </c>
      <c r="I1150" s="896">
        <v>200</v>
      </c>
      <c r="J1150" s="692">
        <v>330000</v>
      </c>
      <c r="K1150" s="692">
        <f t="shared" si="159"/>
        <v>66000000</v>
      </c>
      <c r="L1150" s="692">
        <f t="shared" si="156"/>
        <v>68000</v>
      </c>
      <c r="M1150" s="289" t="s">
        <v>2152</v>
      </c>
      <c r="N1150" s="1045" t="s">
        <v>2155</v>
      </c>
      <c r="O1150" s="289">
        <v>1</v>
      </c>
      <c r="P1150" s="403" t="s">
        <v>2118</v>
      </c>
      <c r="Q1150" s="2084">
        <f t="shared" si="162"/>
        <v>1</v>
      </c>
      <c r="R1150" s="2332">
        <f t="shared" si="163"/>
        <v>200</v>
      </c>
      <c r="S1150" s="2086"/>
      <c r="T1150" s="2086"/>
      <c r="U1150" s="2086"/>
      <c r="V1150" s="2086"/>
      <c r="W1150" s="2087"/>
      <c r="X1150" s="2088"/>
      <c r="Y1150" s="2089"/>
      <c r="Z1150" s="2085"/>
      <c r="AA1150" s="2085"/>
      <c r="AB1150" s="2085"/>
      <c r="AC1150" s="2085"/>
      <c r="AD1150" s="2085"/>
      <c r="AE1150" s="2089"/>
    </row>
    <row r="1151" spans="1:31" ht="18">
      <c r="A1151" s="692">
        <v>833</v>
      </c>
      <c r="B1151" s="1042">
        <v>20</v>
      </c>
      <c r="C1151" s="289" t="s">
        <v>2156</v>
      </c>
      <c r="D1151" s="1042" t="s">
        <v>2157</v>
      </c>
      <c r="E1151" s="1042" t="s">
        <v>1484</v>
      </c>
      <c r="F1151" s="1043">
        <v>200</v>
      </c>
      <c r="G1151" s="1043">
        <v>139000</v>
      </c>
      <c r="H1151" s="1043">
        <f t="shared" si="155"/>
        <v>27800000</v>
      </c>
      <c r="I1151" s="896">
        <v>200</v>
      </c>
      <c r="J1151" s="692">
        <v>170000</v>
      </c>
      <c r="K1151" s="692">
        <f t="shared" si="159"/>
        <v>34000000</v>
      </c>
      <c r="L1151" s="692">
        <f t="shared" si="156"/>
        <v>31000</v>
      </c>
      <c r="M1151" s="289" t="s">
        <v>2152</v>
      </c>
      <c r="N1151" s="1045" t="s">
        <v>2158</v>
      </c>
      <c r="O1151" s="289">
        <v>1</v>
      </c>
      <c r="P1151" s="403" t="s">
        <v>2118</v>
      </c>
      <c r="Q1151" s="2084">
        <f t="shared" si="162"/>
        <v>1</v>
      </c>
      <c r="R1151" s="2332">
        <f t="shared" si="163"/>
        <v>200</v>
      </c>
      <c r="S1151" s="2086"/>
      <c r="T1151" s="2086"/>
      <c r="U1151" s="2086"/>
      <c r="V1151" s="2086"/>
      <c r="W1151" s="2087"/>
      <c r="X1151" s="2088"/>
      <c r="Y1151" s="2089"/>
      <c r="Z1151" s="2085"/>
      <c r="AA1151" s="2085"/>
      <c r="AB1151" s="2085"/>
      <c r="AC1151" s="2085"/>
      <c r="AD1151" s="2085"/>
      <c r="AE1151" s="2089"/>
    </row>
    <row r="1152" spans="1:31" ht="18">
      <c r="A1152" s="692">
        <v>834</v>
      </c>
      <c r="B1152" s="1042">
        <v>21</v>
      </c>
      <c r="C1152" s="289" t="s">
        <v>2159</v>
      </c>
      <c r="D1152" s="1042" t="s">
        <v>2157</v>
      </c>
      <c r="E1152" s="1042" t="s">
        <v>1484</v>
      </c>
      <c r="F1152" s="1043">
        <v>200</v>
      </c>
      <c r="G1152" s="1043">
        <v>139000</v>
      </c>
      <c r="H1152" s="1043">
        <f t="shared" si="155"/>
        <v>27800000</v>
      </c>
      <c r="I1152" s="896">
        <v>200</v>
      </c>
      <c r="J1152" s="692">
        <v>170000</v>
      </c>
      <c r="K1152" s="692">
        <f t="shared" si="159"/>
        <v>34000000</v>
      </c>
      <c r="L1152" s="692">
        <f t="shared" si="156"/>
        <v>31000</v>
      </c>
      <c r="M1152" s="289" t="s">
        <v>2152</v>
      </c>
      <c r="N1152" s="1045" t="s">
        <v>2160</v>
      </c>
      <c r="O1152" s="289">
        <v>1</v>
      </c>
      <c r="P1152" s="403" t="s">
        <v>2118</v>
      </c>
      <c r="Q1152" s="2084">
        <f t="shared" si="162"/>
        <v>1</v>
      </c>
      <c r="R1152" s="2332">
        <f t="shared" si="163"/>
        <v>200</v>
      </c>
      <c r="S1152" s="2086"/>
      <c r="T1152" s="2086"/>
      <c r="U1152" s="2086"/>
      <c r="V1152" s="2086"/>
      <c r="W1152" s="2087"/>
      <c r="X1152" s="2088"/>
      <c r="Y1152" s="2089"/>
      <c r="Z1152" s="2085"/>
      <c r="AA1152" s="2085"/>
      <c r="AB1152" s="2085"/>
      <c r="AC1152" s="2085"/>
      <c r="AD1152" s="2085"/>
      <c r="AE1152" s="2089"/>
    </row>
    <row r="1153" spans="1:31" ht="27">
      <c r="A1153" s="692">
        <v>835</v>
      </c>
      <c r="B1153" s="1042">
        <v>22</v>
      </c>
      <c r="C1153" s="289" t="s">
        <v>2161</v>
      </c>
      <c r="D1153" s="1042" t="s">
        <v>660</v>
      </c>
      <c r="E1153" s="1042" t="s">
        <v>1484</v>
      </c>
      <c r="F1153" s="1043">
        <v>100</v>
      </c>
      <c r="G1153" s="1043">
        <v>71500</v>
      </c>
      <c r="H1153" s="1043">
        <f t="shared" si="155"/>
        <v>7150000</v>
      </c>
      <c r="I1153" s="896">
        <v>100</v>
      </c>
      <c r="J1153" s="692">
        <v>250000</v>
      </c>
      <c r="K1153" s="692">
        <f t="shared" si="159"/>
        <v>25000000</v>
      </c>
      <c r="L1153" s="692">
        <f t="shared" si="156"/>
        <v>178500</v>
      </c>
      <c r="M1153" s="289" t="s">
        <v>2152</v>
      </c>
      <c r="N1153" s="1045" t="s">
        <v>2162</v>
      </c>
      <c r="O1153" s="289">
        <v>1</v>
      </c>
      <c r="P1153" s="403" t="s">
        <v>2118</v>
      </c>
      <c r="Q1153" s="2084">
        <f t="shared" si="162"/>
        <v>1</v>
      </c>
      <c r="R1153" s="2332">
        <f t="shared" si="163"/>
        <v>100</v>
      </c>
      <c r="S1153" s="2086"/>
      <c r="T1153" s="2086"/>
      <c r="U1153" s="2086"/>
      <c r="V1153" s="2086"/>
      <c r="W1153" s="2087"/>
      <c r="X1153" s="2088"/>
      <c r="Y1153" s="2089"/>
      <c r="Z1153" s="2085"/>
      <c r="AA1153" s="2085"/>
      <c r="AB1153" s="2085"/>
      <c r="AC1153" s="2085"/>
      <c r="AD1153" s="2085"/>
      <c r="AE1153" s="2089"/>
    </row>
    <row r="1154" spans="1:31" ht="18">
      <c r="A1154" s="692">
        <v>836</v>
      </c>
      <c r="B1154" s="1042">
        <v>23</v>
      </c>
      <c r="C1154" s="289" t="s">
        <v>2163</v>
      </c>
      <c r="D1154" s="1042" t="s">
        <v>539</v>
      </c>
      <c r="E1154" s="1042" t="s">
        <v>1484</v>
      </c>
      <c r="F1154" s="1043">
        <v>100</v>
      </c>
      <c r="G1154" s="1043">
        <v>650000</v>
      </c>
      <c r="H1154" s="1043">
        <f t="shared" si="155"/>
        <v>65000000</v>
      </c>
      <c r="I1154" s="896">
        <v>100</v>
      </c>
      <c r="J1154" s="692">
        <v>800000</v>
      </c>
      <c r="K1154" s="692">
        <f t="shared" si="159"/>
        <v>80000000</v>
      </c>
      <c r="L1154" s="692">
        <f t="shared" si="156"/>
        <v>150000</v>
      </c>
      <c r="M1154" s="289" t="s">
        <v>2152</v>
      </c>
      <c r="N1154" s="289" t="s">
        <v>2164</v>
      </c>
      <c r="O1154" s="289">
        <v>1</v>
      </c>
      <c r="P1154" s="403" t="s">
        <v>2118</v>
      </c>
      <c r="Q1154" s="2084">
        <f t="shared" si="162"/>
        <v>1</v>
      </c>
      <c r="R1154" s="2332">
        <f t="shared" si="163"/>
        <v>100</v>
      </c>
      <c r="S1154" s="2086"/>
      <c r="T1154" s="2086"/>
      <c r="U1154" s="2086"/>
      <c r="V1154" s="2086"/>
      <c r="W1154" s="2087"/>
      <c r="X1154" s="2088"/>
      <c r="Y1154" s="2089"/>
      <c r="Z1154" s="2085"/>
      <c r="AA1154" s="2085"/>
      <c r="AB1154" s="2085"/>
      <c r="AC1154" s="2085"/>
      <c r="AD1154" s="2085"/>
      <c r="AE1154" s="2089"/>
    </row>
    <row r="1155" spans="1:31">
      <c r="A1155" s="2162" t="s">
        <v>2112</v>
      </c>
      <c r="B1155" s="2163"/>
      <c r="C1155" s="2163"/>
      <c r="D1155" s="2163"/>
      <c r="E1155" s="2163"/>
      <c r="F1155" s="2163"/>
      <c r="G1155" s="2164"/>
      <c r="H1155" s="2311">
        <f>SUM(H1132:H1154)</f>
        <v>3687350000</v>
      </c>
      <c r="I1155" s="1048"/>
      <c r="J1155" s="1048"/>
      <c r="K1155" s="1047">
        <f>SUM(K1132:K1154)</f>
        <v>4840800000</v>
      </c>
      <c r="L1155" s="1048"/>
      <c r="M1155" s="2165"/>
      <c r="N1155" s="2165"/>
      <c r="O1155" s="2165"/>
      <c r="P1155" s="420"/>
      <c r="Q1155" s="115"/>
    </row>
    <row r="1156" spans="1:31">
      <c r="A1156" s="70" t="s">
        <v>2165</v>
      </c>
      <c r="F1156" s="71"/>
      <c r="G1156" s="71"/>
      <c r="H1156" s="71"/>
    </row>
    <row r="1158" spans="1:31">
      <c r="U1158" s="73"/>
    </row>
    <row r="1159" spans="1:31">
      <c r="A1159" s="71" t="s">
        <v>2166</v>
      </c>
      <c r="U1159" s="73"/>
    </row>
    <row r="1160" spans="1:31">
      <c r="U1160" s="73"/>
    </row>
    <row r="1161" spans="1:31" s="12" customFormat="1">
      <c r="A1161" s="2092" t="s">
        <v>5</v>
      </c>
      <c r="B1161" s="2092" t="s">
        <v>6</v>
      </c>
      <c r="C1161" s="2094" t="s">
        <v>7</v>
      </c>
      <c r="D1161" s="2096" t="s">
        <v>8</v>
      </c>
      <c r="E1161" s="2092" t="s">
        <v>9</v>
      </c>
      <c r="F1161" s="2098" t="s">
        <v>10</v>
      </c>
      <c r="G1161" s="2098"/>
      <c r="H1161" s="2098"/>
      <c r="I1161" s="2098" t="s">
        <v>11</v>
      </c>
      <c r="J1161" s="2098"/>
      <c r="K1161" s="2098"/>
      <c r="L1161" s="2099" t="s">
        <v>12</v>
      </c>
      <c r="M1161" s="9"/>
      <c r="N1161" s="9"/>
      <c r="O1161" s="9"/>
      <c r="P1161" s="2101" t="s">
        <v>13</v>
      </c>
      <c r="Q1161" s="2265" t="s">
        <v>4740</v>
      </c>
      <c r="R1161" s="2319" t="s">
        <v>4754</v>
      </c>
      <c r="S1161" s="2267" t="s">
        <v>4767</v>
      </c>
      <c r="T1161" s="2268"/>
      <c r="U1161" s="2268"/>
      <c r="V1161" s="2268"/>
      <c r="W1161" s="2269"/>
      <c r="X1161" s="2267" t="s">
        <v>4768</v>
      </c>
      <c r="Y1161" s="2268"/>
      <c r="Z1161" s="2268"/>
      <c r="AA1161" s="2268"/>
      <c r="AB1161" s="2268"/>
      <c r="AC1161" s="2268"/>
      <c r="AD1161" s="2268"/>
      <c r="AE1161" s="2269"/>
    </row>
    <row r="1162" spans="1:31" s="16" customFormat="1" ht="27">
      <c r="A1162" s="2093"/>
      <c r="B1162" s="2093"/>
      <c r="C1162" s="2095"/>
      <c r="D1162" s="2097"/>
      <c r="E1162" s="2093"/>
      <c r="F1162" s="13" t="s">
        <v>14</v>
      </c>
      <c r="G1162" s="13" t="s">
        <v>15</v>
      </c>
      <c r="H1162" s="13" t="s">
        <v>16</v>
      </c>
      <c r="I1162" s="13" t="s">
        <v>14</v>
      </c>
      <c r="J1162" s="13" t="s">
        <v>15</v>
      </c>
      <c r="K1162" s="13" t="s">
        <v>16</v>
      </c>
      <c r="L1162" s="2100"/>
      <c r="M1162" s="14" t="s">
        <v>17</v>
      </c>
      <c r="N1162" s="14" t="s">
        <v>18</v>
      </c>
      <c r="O1162" s="14" t="s">
        <v>19</v>
      </c>
      <c r="P1162" s="2102"/>
      <c r="Q1162" s="2266"/>
      <c r="R1162" s="2320"/>
      <c r="S1162" s="2263" t="s">
        <v>4755</v>
      </c>
      <c r="T1162" s="2263" t="s">
        <v>4756</v>
      </c>
      <c r="U1162" s="2263" t="s">
        <v>4757</v>
      </c>
      <c r="V1162" s="2263" t="s">
        <v>4758</v>
      </c>
      <c r="W1162" s="2263" t="s">
        <v>4759</v>
      </c>
      <c r="X1162" s="2264" t="s">
        <v>4760</v>
      </c>
      <c r="Y1162" s="2264" t="s">
        <v>4761</v>
      </c>
      <c r="Z1162" s="2264" t="s">
        <v>4762</v>
      </c>
      <c r="AA1162" s="2264" t="s">
        <v>4763</v>
      </c>
      <c r="AB1162" s="2264" t="s">
        <v>4764</v>
      </c>
      <c r="AC1162" s="2264" t="s">
        <v>4765</v>
      </c>
      <c r="AD1162" s="2264" t="s">
        <v>4766</v>
      </c>
      <c r="AE1162" s="2264" t="s">
        <v>4755</v>
      </c>
    </row>
    <row r="1163" spans="1:31" s="70" customFormat="1">
      <c r="A1163" s="331">
        <v>1</v>
      </c>
      <c r="B1163" s="331">
        <v>2</v>
      </c>
      <c r="C1163" s="63">
        <v>3</v>
      </c>
      <c r="D1163" s="331">
        <v>4</v>
      </c>
      <c r="E1163" s="331">
        <v>5</v>
      </c>
      <c r="F1163" s="57">
        <v>6</v>
      </c>
      <c r="G1163" s="57">
        <v>7</v>
      </c>
      <c r="H1163" s="331">
        <v>8</v>
      </c>
      <c r="I1163" s="331">
        <v>9</v>
      </c>
      <c r="J1163" s="331">
        <v>10</v>
      </c>
      <c r="K1163" s="331">
        <v>11</v>
      </c>
      <c r="L1163" s="331">
        <v>12</v>
      </c>
      <c r="M1163" s="331">
        <v>9</v>
      </c>
      <c r="N1163" s="331">
        <v>10</v>
      </c>
      <c r="O1163" s="331">
        <v>11</v>
      </c>
      <c r="P1163" s="21">
        <v>13</v>
      </c>
      <c r="Q1163" s="22"/>
      <c r="R1163" s="2321"/>
      <c r="S1163" s="485"/>
    </row>
    <row r="1164" spans="1:31" ht="36">
      <c r="A1164" s="719">
        <v>837</v>
      </c>
      <c r="B1164" s="1049">
        <v>1</v>
      </c>
      <c r="C1164" s="1049" t="s">
        <v>2167</v>
      </c>
      <c r="D1164" s="1049" t="s">
        <v>1542</v>
      </c>
      <c r="E1164" s="1049" t="s">
        <v>2168</v>
      </c>
      <c r="F1164" s="1049">
        <v>250</v>
      </c>
      <c r="G1164" s="1050">
        <v>8000000</v>
      </c>
      <c r="H1164" s="1050">
        <f>F1164*G1164</f>
        <v>2000000000</v>
      </c>
      <c r="I1164" s="891">
        <v>250</v>
      </c>
      <c r="J1164" s="892">
        <v>8080000</v>
      </c>
      <c r="K1164" s="682">
        <f t="shared" ref="K1164:K1183" si="164">I1164*J1164</f>
        <v>2020000000</v>
      </c>
      <c r="L1164" s="682">
        <f t="shared" ref="L1164:L1183" si="165">J1164-G1164</f>
        <v>80000</v>
      </c>
      <c r="M1164" s="889" t="s">
        <v>2169</v>
      </c>
      <c r="N1164" s="1051" t="s">
        <v>2170</v>
      </c>
      <c r="O1164" s="889">
        <v>2</v>
      </c>
      <c r="P1164" s="400" t="s">
        <v>1545</v>
      </c>
      <c r="Q1164" s="2084">
        <f t="shared" ref="Q1164" si="166">R1164/F1164</f>
        <v>1</v>
      </c>
      <c r="R1164" s="2332">
        <f t="shared" ref="R1164" si="167">+F1164-(S1164+T1164+U1164+W1164+X1164+Y1164+Z1164+AA1164+AB1164+AC1164+AD1164+AE1164)</f>
        <v>250</v>
      </c>
      <c r="S1164" s="2086"/>
      <c r="T1164" s="2086"/>
      <c r="U1164" s="2086"/>
      <c r="V1164" s="2086"/>
      <c r="W1164" s="2087"/>
      <c r="X1164" s="2088"/>
      <c r="Y1164" s="2089"/>
      <c r="Z1164" s="2085"/>
      <c r="AA1164" s="2085"/>
      <c r="AB1164" s="2085"/>
      <c r="AC1164" s="2085"/>
      <c r="AD1164" s="2085"/>
      <c r="AE1164" s="2089"/>
    </row>
    <row r="1165" spans="1:31" ht="36">
      <c r="A1165" s="727">
        <v>838</v>
      </c>
      <c r="B1165" s="1052">
        <v>2</v>
      </c>
      <c r="C1165" s="1052" t="s">
        <v>2171</v>
      </c>
      <c r="D1165" s="1052" t="s">
        <v>1542</v>
      </c>
      <c r="E1165" s="1052" t="s">
        <v>2168</v>
      </c>
      <c r="F1165" s="1052">
        <v>5</v>
      </c>
      <c r="G1165" s="1053">
        <v>5000000</v>
      </c>
      <c r="H1165" s="1053">
        <f>F1165*G1165</f>
        <v>25000000</v>
      </c>
      <c r="I1165" s="896">
        <v>5</v>
      </c>
      <c r="J1165" s="897">
        <v>5050000</v>
      </c>
      <c r="K1165" s="692">
        <f t="shared" si="164"/>
        <v>25250000</v>
      </c>
      <c r="L1165" s="692">
        <f t="shared" si="165"/>
        <v>50000</v>
      </c>
      <c r="M1165" s="894" t="s">
        <v>2169</v>
      </c>
      <c r="N1165" s="1054" t="s">
        <v>2172</v>
      </c>
      <c r="O1165" s="894">
        <v>2</v>
      </c>
      <c r="P1165" s="403" t="s">
        <v>1545</v>
      </c>
      <c r="Q1165" s="2084">
        <f t="shared" ref="Q1165:Q1166" si="168">R1165/F1165</f>
        <v>1</v>
      </c>
      <c r="R1165" s="2332">
        <f t="shared" ref="R1165:R1166" si="169">+F1165-(S1165+T1165+U1165+W1165+X1165+Y1165+Z1165+AA1165+AB1165+AC1165+AD1165+AE1165)</f>
        <v>5</v>
      </c>
      <c r="S1165" s="2086"/>
      <c r="T1165" s="2086"/>
      <c r="U1165" s="2086"/>
      <c r="V1165" s="2086"/>
      <c r="W1165" s="2087"/>
      <c r="X1165" s="2088"/>
      <c r="Y1165" s="2089"/>
      <c r="Z1165" s="2085"/>
      <c r="AA1165" s="2085"/>
      <c r="AB1165" s="2085"/>
      <c r="AC1165" s="2085"/>
      <c r="AD1165" s="2085"/>
      <c r="AE1165" s="2089"/>
    </row>
    <row r="1166" spans="1:31" ht="18">
      <c r="A1166" s="727">
        <v>839</v>
      </c>
      <c r="B1166" s="1052">
        <v>3</v>
      </c>
      <c r="C1166" s="1052" t="s">
        <v>2173</v>
      </c>
      <c r="D1166" s="1052" t="s">
        <v>1542</v>
      </c>
      <c r="E1166" s="1052" t="s">
        <v>47</v>
      </c>
      <c r="F1166" s="1052">
        <v>30</v>
      </c>
      <c r="G1166" s="1053">
        <v>819000</v>
      </c>
      <c r="H1166" s="1053">
        <f t="shared" ref="H1166:H1183" si="170">F1166*G1166</f>
        <v>24570000</v>
      </c>
      <c r="I1166" s="896">
        <v>30</v>
      </c>
      <c r="J1166" s="897">
        <v>836280</v>
      </c>
      <c r="K1166" s="692">
        <f t="shared" si="164"/>
        <v>25088400</v>
      </c>
      <c r="L1166" s="692">
        <f t="shared" si="165"/>
        <v>17280</v>
      </c>
      <c r="M1166" s="894" t="s">
        <v>1543</v>
      </c>
      <c r="N1166" s="894" t="s">
        <v>2174</v>
      </c>
      <c r="O1166" s="894">
        <v>2</v>
      </c>
      <c r="P1166" s="403" t="s">
        <v>1545</v>
      </c>
      <c r="Q1166" s="2084">
        <f t="shared" si="168"/>
        <v>1</v>
      </c>
      <c r="R1166" s="2332">
        <f t="shared" si="169"/>
        <v>30</v>
      </c>
      <c r="S1166" s="2086"/>
      <c r="T1166" s="2086"/>
      <c r="U1166" s="2086"/>
      <c r="V1166" s="2086"/>
      <c r="W1166" s="2087"/>
      <c r="X1166" s="2088"/>
      <c r="Y1166" s="2089"/>
      <c r="Z1166" s="2085"/>
      <c r="AA1166" s="2085"/>
      <c r="AB1166" s="2085"/>
      <c r="AC1166" s="2085"/>
      <c r="AD1166" s="2085"/>
      <c r="AE1166" s="2089"/>
    </row>
    <row r="1167" spans="1:31" ht="18">
      <c r="A1167" s="727">
        <v>840</v>
      </c>
      <c r="B1167" s="1052">
        <v>4</v>
      </c>
      <c r="C1167" s="1052" t="s">
        <v>2175</v>
      </c>
      <c r="D1167" s="1052" t="s">
        <v>1542</v>
      </c>
      <c r="E1167" s="1052" t="s">
        <v>47</v>
      </c>
      <c r="F1167" s="1052">
        <v>200</v>
      </c>
      <c r="G1167" s="1053">
        <v>1980000</v>
      </c>
      <c r="H1167" s="1053">
        <f t="shared" si="170"/>
        <v>396000000</v>
      </c>
      <c r="I1167" s="896">
        <v>200</v>
      </c>
      <c r="J1167" s="897">
        <v>1980000</v>
      </c>
      <c r="K1167" s="692">
        <f t="shared" si="164"/>
        <v>396000000</v>
      </c>
      <c r="L1167" s="692">
        <f t="shared" si="165"/>
        <v>0</v>
      </c>
      <c r="M1167" s="1053" t="s">
        <v>2176</v>
      </c>
      <c r="N1167" s="1053" t="s">
        <v>2177</v>
      </c>
      <c r="O1167" s="894">
        <v>2</v>
      </c>
      <c r="P1167" s="403" t="s">
        <v>1545</v>
      </c>
      <c r="Q1167" s="2084">
        <f t="shared" ref="Q1167:Q1183" si="171">R1167/F1167</f>
        <v>0.97499999999999998</v>
      </c>
      <c r="R1167" s="2332">
        <f t="shared" ref="R1167:R1183" si="172">+F1167-(S1167+T1167+U1167+W1167+X1167+Y1167+Z1167+AA1167+AB1167+AC1167+AD1167+AE1167)</f>
        <v>195</v>
      </c>
      <c r="S1167" s="73">
        <v>5</v>
      </c>
      <c r="T1167" s="2086"/>
      <c r="U1167" s="2086"/>
      <c r="V1167" s="2086"/>
      <c r="W1167" s="2087"/>
      <c r="X1167" s="2088"/>
      <c r="Y1167" s="2089"/>
      <c r="Z1167" s="2085"/>
      <c r="AA1167" s="2085"/>
      <c r="AB1167" s="2085"/>
      <c r="AC1167" s="2085"/>
      <c r="AD1167" s="2085"/>
      <c r="AE1167" s="2089"/>
    </row>
    <row r="1168" spans="1:31" ht="18">
      <c r="A1168" s="727">
        <v>841</v>
      </c>
      <c r="B1168" s="1052">
        <v>5</v>
      </c>
      <c r="C1168" s="1052" t="s">
        <v>2178</v>
      </c>
      <c r="D1168" s="1052" t="s">
        <v>1542</v>
      </c>
      <c r="E1168" s="1052" t="s">
        <v>47</v>
      </c>
      <c r="F1168" s="1052">
        <v>200</v>
      </c>
      <c r="G1168" s="1053">
        <v>2090000</v>
      </c>
      <c r="H1168" s="1053">
        <f t="shared" si="170"/>
        <v>418000000</v>
      </c>
      <c r="I1168" s="896">
        <v>200</v>
      </c>
      <c r="J1168" s="897">
        <v>2090000</v>
      </c>
      <c r="K1168" s="692">
        <f t="shared" si="164"/>
        <v>418000000</v>
      </c>
      <c r="L1168" s="692">
        <f t="shared" si="165"/>
        <v>0</v>
      </c>
      <c r="M1168" s="1053" t="s">
        <v>2176</v>
      </c>
      <c r="N1168" s="1053" t="s">
        <v>2177</v>
      </c>
      <c r="O1168" s="894">
        <v>2</v>
      </c>
      <c r="P1168" s="403" t="s">
        <v>1545</v>
      </c>
      <c r="Q1168" s="2084">
        <f t="shared" si="171"/>
        <v>1</v>
      </c>
      <c r="R1168" s="2332">
        <f t="shared" si="172"/>
        <v>200</v>
      </c>
      <c r="S1168" s="73"/>
      <c r="T1168" s="2086"/>
      <c r="U1168" s="2086"/>
      <c r="V1168" s="2086"/>
      <c r="W1168" s="2087"/>
      <c r="X1168" s="2088"/>
      <c r="Y1168" s="2089"/>
      <c r="Z1168" s="2085"/>
      <c r="AA1168" s="2085"/>
      <c r="AB1168" s="2085"/>
      <c r="AC1168" s="2085"/>
      <c r="AD1168" s="2085"/>
      <c r="AE1168" s="2089"/>
    </row>
    <row r="1169" spans="1:31" ht="18">
      <c r="A1169" s="727">
        <v>842</v>
      </c>
      <c r="B1169" s="1052">
        <v>6</v>
      </c>
      <c r="C1169" s="1052" t="s">
        <v>2179</v>
      </c>
      <c r="D1169" s="1052" t="s">
        <v>1542</v>
      </c>
      <c r="E1169" s="1052" t="s">
        <v>192</v>
      </c>
      <c r="F1169" s="1052">
        <v>200</v>
      </c>
      <c r="G1169" s="1053">
        <v>8800000</v>
      </c>
      <c r="H1169" s="1053">
        <f t="shared" si="170"/>
        <v>1760000000</v>
      </c>
      <c r="I1169" s="896">
        <v>200</v>
      </c>
      <c r="J1169" s="897">
        <v>8800000</v>
      </c>
      <c r="K1169" s="692">
        <f t="shared" si="164"/>
        <v>1760000000</v>
      </c>
      <c r="L1169" s="692">
        <f t="shared" si="165"/>
        <v>0</v>
      </c>
      <c r="M1169" s="1053" t="s">
        <v>2176</v>
      </c>
      <c r="N1169" s="1053" t="s">
        <v>2177</v>
      </c>
      <c r="O1169" s="894">
        <v>2</v>
      </c>
      <c r="P1169" s="403" t="s">
        <v>1545</v>
      </c>
      <c r="Q1169" s="2084">
        <f t="shared" si="171"/>
        <v>0.97499999999999998</v>
      </c>
      <c r="R1169" s="2332">
        <f t="shared" si="172"/>
        <v>195</v>
      </c>
      <c r="S1169" s="73">
        <v>5</v>
      </c>
      <c r="T1169" s="2086"/>
      <c r="U1169" s="2086"/>
      <c r="V1169" s="2086"/>
      <c r="W1169" s="2087"/>
      <c r="X1169" s="2088"/>
      <c r="Y1169" s="2089"/>
      <c r="Z1169" s="2085"/>
      <c r="AA1169" s="2085"/>
      <c r="AB1169" s="2085"/>
      <c r="AC1169" s="2085"/>
      <c r="AD1169" s="2085"/>
      <c r="AE1169" s="2089"/>
    </row>
    <row r="1170" spans="1:31" ht="18">
      <c r="A1170" s="727">
        <v>843</v>
      </c>
      <c r="B1170" s="1052">
        <v>7</v>
      </c>
      <c r="C1170" s="1052" t="s">
        <v>2180</v>
      </c>
      <c r="D1170" s="1052" t="s">
        <v>1542</v>
      </c>
      <c r="E1170" s="1052" t="s">
        <v>47</v>
      </c>
      <c r="F1170" s="1052">
        <v>200</v>
      </c>
      <c r="G1170" s="1053">
        <v>7500000</v>
      </c>
      <c r="H1170" s="1053">
        <f t="shared" si="170"/>
        <v>1500000000</v>
      </c>
      <c r="I1170" s="896">
        <v>200</v>
      </c>
      <c r="J1170" s="897">
        <v>7500000</v>
      </c>
      <c r="K1170" s="692">
        <f t="shared" si="164"/>
        <v>1500000000</v>
      </c>
      <c r="L1170" s="692">
        <f t="shared" si="165"/>
        <v>0</v>
      </c>
      <c r="M1170" s="1053" t="s">
        <v>2176</v>
      </c>
      <c r="N1170" s="1055" t="s">
        <v>2181</v>
      </c>
      <c r="O1170" s="894">
        <v>2</v>
      </c>
      <c r="P1170" s="403" t="s">
        <v>1545</v>
      </c>
      <c r="Q1170" s="2084">
        <f t="shared" si="171"/>
        <v>0.97499999999999998</v>
      </c>
      <c r="R1170" s="2332">
        <f t="shared" si="172"/>
        <v>195</v>
      </c>
      <c r="S1170" s="73">
        <v>5</v>
      </c>
      <c r="T1170" s="2086"/>
      <c r="U1170" s="2086"/>
      <c r="V1170" s="2086"/>
      <c r="W1170" s="2087"/>
      <c r="X1170" s="2088"/>
      <c r="Y1170" s="2089"/>
      <c r="Z1170" s="2085"/>
      <c r="AA1170" s="2085"/>
      <c r="AB1170" s="2085"/>
      <c r="AC1170" s="2085"/>
      <c r="AD1170" s="2085"/>
      <c r="AE1170" s="2089"/>
    </row>
    <row r="1171" spans="1:31" ht="18">
      <c r="A1171" s="727">
        <v>844</v>
      </c>
      <c r="B1171" s="1052">
        <v>8</v>
      </c>
      <c r="C1171" s="1052" t="s">
        <v>2182</v>
      </c>
      <c r="D1171" s="1052" t="s">
        <v>1542</v>
      </c>
      <c r="E1171" s="1052" t="s">
        <v>47</v>
      </c>
      <c r="F1171" s="1052">
        <v>7</v>
      </c>
      <c r="G1171" s="1053">
        <v>2020000</v>
      </c>
      <c r="H1171" s="1053">
        <f t="shared" si="170"/>
        <v>14140000</v>
      </c>
      <c r="I1171" s="896">
        <v>7</v>
      </c>
      <c r="J1171" s="897">
        <v>2020000</v>
      </c>
      <c r="K1171" s="692">
        <f t="shared" si="164"/>
        <v>14140000</v>
      </c>
      <c r="L1171" s="692">
        <f t="shared" si="165"/>
        <v>0</v>
      </c>
      <c r="M1171" s="894" t="s">
        <v>2183</v>
      </c>
      <c r="N1171" s="1054" t="s">
        <v>2184</v>
      </c>
      <c r="O1171" s="894">
        <v>2</v>
      </c>
      <c r="P1171" s="403" t="s">
        <v>1545</v>
      </c>
      <c r="Q1171" s="2084">
        <f t="shared" si="171"/>
        <v>1</v>
      </c>
      <c r="R1171" s="2332">
        <f t="shared" si="172"/>
        <v>7</v>
      </c>
      <c r="S1171" s="2086"/>
      <c r="T1171" s="2086"/>
      <c r="U1171" s="2086"/>
      <c r="V1171" s="2086"/>
      <c r="W1171" s="2087"/>
      <c r="X1171" s="2088"/>
      <c r="Y1171" s="2089"/>
      <c r="Z1171" s="2085"/>
      <c r="AA1171" s="2085"/>
      <c r="AB1171" s="2085"/>
      <c r="AC1171" s="2085"/>
      <c r="AD1171" s="2085"/>
      <c r="AE1171" s="2089"/>
    </row>
    <row r="1172" spans="1:31" ht="18">
      <c r="A1172" s="727">
        <v>845</v>
      </c>
      <c r="B1172" s="1052">
        <v>9</v>
      </c>
      <c r="C1172" s="1052" t="s">
        <v>2185</v>
      </c>
      <c r="D1172" s="1052" t="s">
        <v>1542</v>
      </c>
      <c r="E1172" s="1052" t="s">
        <v>47</v>
      </c>
      <c r="F1172" s="1052">
        <v>5</v>
      </c>
      <c r="G1172" s="1053">
        <v>1050000</v>
      </c>
      <c r="H1172" s="1053">
        <f t="shared" si="170"/>
        <v>5250000</v>
      </c>
      <c r="I1172" s="896">
        <v>5</v>
      </c>
      <c r="J1172" s="897">
        <v>1060500</v>
      </c>
      <c r="K1172" s="692">
        <f t="shared" si="164"/>
        <v>5302500</v>
      </c>
      <c r="L1172" s="692">
        <f t="shared" si="165"/>
        <v>10500</v>
      </c>
      <c r="M1172" s="894" t="s">
        <v>2176</v>
      </c>
      <c r="N1172" s="894" t="s">
        <v>2177</v>
      </c>
      <c r="O1172" s="894">
        <v>2</v>
      </c>
      <c r="P1172" s="403" t="s">
        <v>1545</v>
      </c>
      <c r="Q1172" s="2084">
        <f t="shared" si="171"/>
        <v>1</v>
      </c>
      <c r="R1172" s="2332">
        <f t="shared" si="172"/>
        <v>5</v>
      </c>
      <c r="S1172" s="2086"/>
      <c r="T1172" s="2086"/>
      <c r="U1172" s="2086"/>
      <c r="V1172" s="2086"/>
      <c r="W1172" s="2087"/>
      <c r="X1172" s="2088"/>
      <c r="Y1172" s="2089"/>
      <c r="Z1172" s="2085"/>
      <c r="AA1172" s="2085"/>
      <c r="AB1172" s="2085"/>
      <c r="AC1172" s="2085"/>
      <c r="AD1172" s="2085"/>
      <c r="AE1172" s="2089"/>
    </row>
    <row r="1173" spans="1:31" ht="18">
      <c r="A1173" s="727">
        <v>846</v>
      </c>
      <c r="B1173" s="1052">
        <v>10</v>
      </c>
      <c r="C1173" s="1052" t="s">
        <v>2186</v>
      </c>
      <c r="D1173" s="1052" t="s">
        <v>1542</v>
      </c>
      <c r="E1173" s="1052" t="s">
        <v>435</v>
      </c>
      <c r="F1173" s="1052">
        <v>5</v>
      </c>
      <c r="G1173" s="1053">
        <v>3600000</v>
      </c>
      <c r="H1173" s="1053">
        <f t="shared" si="170"/>
        <v>18000000</v>
      </c>
      <c r="I1173" s="896">
        <v>5</v>
      </c>
      <c r="J1173" s="897">
        <v>3636000</v>
      </c>
      <c r="K1173" s="692">
        <f t="shared" si="164"/>
        <v>18180000</v>
      </c>
      <c r="L1173" s="692">
        <f t="shared" si="165"/>
        <v>36000</v>
      </c>
      <c r="M1173" s="894" t="s">
        <v>2176</v>
      </c>
      <c r="N1173" s="894" t="s">
        <v>2187</v>
      </c>
      <c r="O1173" s="894">
        <v>2</v>
      </c>
      <c r="P1173" s="403" t="s">
        <v>1545</v>
      </c>
      <c r="Q1173" s="2084">
        <f t="shared" si="171"/>
        <v>1</v>
      </c>
      <c r="R1173" s="2332">
        <f t="shared" si="172"/>
        <v>5</v>
      </c>
      <c r="S1173" s="2086"/>
      <c r="T1173" s="2086"/>
      <c r="U1173" s="2086"/>
      <c r="V1173" s="2086"/>
      <c r="W1173" s="2087"/>
      <c r="X1173" s="2088"/>
      <c r="Y1173" s="2089"/>
      <c r="Z1173" s="2085"/>
      <c r="AA1173" s="2085"/>
      <c r="AB1173" s="2085"/>
      <c r="AC1173" s="2085"/>
      <c r="AD1173" s="2085"/>
      <c r="AE1173" s="2089"/>
    </row>
    <row r="1174" spans="1:31" ht="18">
      <c r="A1174" s="727">
        <v>847</v>
      </c>
      <c r="B1174" s="1052">
        <v>11</v>
      </c>
      <c r="C1174" s="1052" t="s">
        <v>2188</v>
      </c>
      <c r="D1174" s="1052" t="s">
        <v>1542</v>
      </c>
      <c r="E1174" s="1052" t="s">
        <v>47</v>
      </c>
      <c r="F1174" s="1052">
        <v>25</v>
      </c>
      <c r="G1174" s="1053">
        <v>2400000</v>
      </c>
      <c r="H1174" s="1053">
        <f t="shared" si="170"/>
        <v>60000000</v>
      </c>
      <c r="I1174" s="896">
        <v>25</v>
      </c>
      <c r="J1174" s="897">
        <v>2424000</v>
      </c>
      <c r="K1174" s="692">
        <f t="shared" si="164"/>
        <v>60600000</v>
      </c>
      <c r="L1174" s="692">
        <f t="shared" si="165"/>
        <v>24000</v>
      </c>
      <c r="M1174" s="894" t="s">
        <v>2176</v>
      </c>
      <c r="N1174" s="1054" t="s">
        <v>2177</v>
      </c>
      <c r="O1174" s="894">
        <v>2</v>
      </c>
      <c r="P1174" s="403" t="s">
        <v>1545</v>
      </c>
      <c r="Q1174" s="2084">
        <f t="shared" si="171"/>
        <v>1</v>
      </c>
      <c r="R1174" s="2332">
        <f t="shared" si="172"/>
        <v>25</v>
      </c>
      <c r="S1174" s="2086"/>
      <c r="T1174" s="2086"/>
      <c r="U1174" s="2086"/>
      <c r="V1174" s="2086"/>
      <c r="W1174" s="2087"/>
      <c r="X1174" s="2088"/>
      <c r="Y1174" s="2089"/>
      <c r="Z1174" s="2085"/>
      <c r="AA1174" s="2085"/>
      <c r="AB1174" s="2085"/>
      <c r="AC1174" s="2085"/>
      <c r="AD1174" s="2085"/>
      <c r="AE1174" s="2089"/>
    </row>
    <row r="1175" spans="1:31" ht="18">
      <c r="A1175" s="727">
        <v>848</v>
      </c>
      <c r="B1175" s="1052">
        <v>12</v>
      </c>
      <c r="C1175" s="1052" t="s">
        <v>2189</v>
      </c>
      <c r="D1175" s="1052" t="s">
        <v>1542</v>
      </c>
      <c r="E1175" s="1052" t="s">
        <v>47</v>
      </c>
      <c r="F1175" s="1052">
        <v>5</v>
      </c>
      <c r="G1175" s="1053">
        <v>600000</v>
      </c>
      <c r="H1175" s="1053">
        <f t="shared" si="170"/>
        <v>3000000</v>
      </c>
      <c r="I1175" s="896">
        <v>5</v>
      </c>
      <c r="J1175" s="897">
        <v>606000</v>
      </c>
      <c r="K1175" s="692">
        <f t="shared" si="164"/>
        <v>3030000</v>
      </c>
      <c r="L1175" s="692">
        <f t="shared" si="165"/>
        <v>6000</v>
      </c>
      <c r="M1175" s="894" t="s">
        <v>2176</v>
      </c>
      <c r="N1175" s="1054" t="s">
        <v>2177</v>
      </c>
      <c r="O1175" s="894">
        <v>2</v>
      </c>
      <c r="P1175" s="403" t="s">
        <v>1545</v>
      </c>
      <c r="Q1175" s="2084">
        <f t="shared" si="171"/>
        <v>1</v>
      </c>
      <c r="R1175" s="2332">
        <f t="shared" si="172"/>
        <v>5</v>
      </c>
      <c r="S1175" s="2086"/>
      <c r="T1175" s="2086"/>
      <c r="U1175" s="2086"/>
      <c r="V1175" s="2086"/>
      <c r="W1175" s="2087"/>
      <c r="X1175" s="2088"/>
      <c r="Y1175" s="2089"/>
      <c r="Z1175" s="2085"/>
      <c r="AA1175" s="2085"/>
      <c r="AB1175" s="2085"/>
      <c r="AC1175" s="2085"/>
      <c r="AD1175" s="2085"/>
      <c r="AE1175" s="2089"/>
    </row>
    <row r="1176" spans="1:31" ht="27">
      <c r="A1176" s="727">
        <v>849</v>
      </c>
      <c r="B1176" s="1052">
        <v>13</v>
      </c>
      <c r="C1176" s="1052" t="s">
        <v>2190</v>
      </c>
      <c r="D1176" s="1052" t="s">
        <v>1542</v>
      </c>
      <c r="E1176" s="1052" t="s">
        <v>192</v>
      </c>
      <c r="F1176" s="1052">
        <v>10</v>
      </c>
      <c r="G1176" s="1053">
        <v>2998800</v>
      </c>
      <c r="H1176" s="1053">
        <f t="shared" si="170"/>
        <v>29988000</v>
      </c>
      <c r="I1176" s="896">
        <v>10</v>
      </c>
      <c r="J1176" s="897">
        <v>3030000</v>
      </c>
      <c r="K1176" s="692">
        <f t="shared" si="164"/>
        <v>30300000</v>
      </c>
      <c r="L1176" s="692">
        <f t="shared" si="165"/>
        <v>31200</v>
      </c>
      <c r="M1176" s="894" t="s">
        <v>1543</v>
      </c>
      <c r="N1176" s="894" t="s">
        <v>2191</v>
      </c>
      <c r="O1176" s="894">
        <v>2</v>
      </c>
      <c r="P1176" s="403" t="s">
        <v>1545</v>
      </c>
      <c r="Q1176" s="2084">
        <f t="shared" si="171"/>
        <v>1</v>
      </c>
      <c r="R1176" s="2332">
        <f t="shared" si="172"/>
        <v>10</v>
      </c>
      <c r="S1176" s="2086"/>
      <c r="T1176" s="2086"/>
      <c r="U1176" s="2086"/>
      <c r="V1176" s="2086"/>
      <c r="W1176" s="2087"/>
      <c r="X1176" s="2088"/>
      <c r="Y1176" s="2089"/>
      <c r="Z1176" s="2085"/>
      <c r="AA1176" s="2085"/>
      <c r="AB1176" s="2085"/>
      <c r="AC1176" s="2085"/>
      <c r="AD1176" s="2085"/>
      <c r="AE1176" s="2089"/>
    </row>
    <row r="1177" spans="1:31" ht="36">
      <c r="A1177" s="727">
        <v>850</v>
      </c>
      <c r="B1177" s="1052">
        <v>14</v>
      </c>
      <c r="C1177" s="1052" t="s">
        <v>2192</v>
      </c>
      <c r="D1177" s="1052" t="s">
        <v>1542</v>
      </c>
      <c r="E1177" s="1052" t="s">
        <v>192</v>
      </c>
      <c r="F1177" s="1052">
        <v>10</v>
      </c>
      <c r="G1177" s="1053">
        <v>3780000</v>
      </c>
      <c r="H1177" s="1053">
        <f t="shared" si="170"/>
        <v>37800000</v>
      </c>
      <c r="I1177" s="896">
        <v>10</v>
      </c>
      <c r="J1177" s="897">
        <v>3878400</v>
      </c>
      <c r="K1177" s="692">
        <f t="shared" si="164"/>
        <v>38784000</v>
      </c>
      <c r="L1177" s="692">
        <f t="shared" si="165"/>
        <v>98400</v>
      </c>
      <c r="M1177" s="894" t="s">
        <v>1543</v>
      </c>
      <c r="N1177" s="894" t="s">
        <v>2193</v>
      </c>
      <c r="O1177" s="894">
        <v>2</v>
      </c>
      <c r="P1177" s="403" t="s">
        <v>1545</v>
      </c>
      <c r="Q1177" s="2084">
        <f t="shared" si="171"/>
        <v>1</v>
      </c>
      <c r="R1177" s="2332">
        <f t="shared" si="172"/>
        <v>10</v>
      </c>
      <c r="S1177" s="2086"/>
      <c r="T1177" s="2086"/>
      <c r="U1177" s="2086"/>
      <c r="V1177" s="2086"/>
      <c r="W1177" s="2087"/>
      <c r="X1177" s="2088"/>
      <c r="Y1177" s="2089"/>
      <c r="Z1177" s="2085"/>
      <c r="AA1177" s="2085"/>
      <c r="AB1177" s="2085"/>
      <c r="AC1177" s="2085"/>
      <c r="AD1177" s="2085"/>
      <c r="AE1177" s="2089"/>
    </row>
    <row r="1178" spans="1:31" ht="18">
      <c r="A1178" s="727">
        <v>851</v>
      </c>
      <c r="B1178" s="1052">
        <v>15</v>
      </c>
      <c r="C1178" s="1052" t="s">
        <v>2194</v>
      </c>
      <c r="D1178" s="1052" t="s">
        <v>1542</v>
      </c>
      <c r="E1178" s="1052" t="s">
        <v>47</v>
      </c>
      <c r="F1178" s="1052">
        <v>30</v>
      </c>
      <c r="G1178" s="1053">
        <v>350000</v>
      </c>
      <c r="H1178" s="1053">
        <f t="shared" si="170"/>
        <v>10500000</v>
      </c>
      <c r="I1178" s="896">
        <v>30</v>
      </c>
      <c r="J1178" s="897">
        <v>350000</v>
      </c>
      <c r="K1178" s="692">
        <f t="shared" si="164"/>
        <v>10500000</v>
      </c>
      <c r="L1178" s="692">
        <f t="shared" si="165"/>
        <v>0</v>
      </c>
      <c r="M1178" s="894" t="s">
        <v>1543</v>
      </c>
      <c r="N1178" s="894" t="s">
        <v>2195</v>
      </c>
      <c r="O1178" s="894">
        <v>2</v>
      </c>
      <c r="P1178" s="403" t="s">
        <v>1545</v>
      </c>
      <c r="Q1178" s="2084">
        <f t="shared" si="171"/>
        <v>1</v>
      </c>
      <c r="R1178" s="2332">
        <f t="shared" si="172"/>
        <v>30</v>
      </c>
      <c r="S1178" s="2086"/>
      <c r="T1178" s="2086"/>
      <c r="U1178" s="2086"/>
      <c r="V1178" s="2086"/>
      <c r="W1178" s="2087"/>
      <c r="X1178" s="2088"/>
      <c r="Y1178" s="2089"/>
      <c r="Z1178" s="2085"/>
      <c r="AA1178" s="2085"/>
      <c r="AB1178" s="2085"/>
      <c r="AC1178" s="2085"/>
      <c r="AD1178" s="2085"/>
      <c r="AE1178" s="2089"/>
    </row>
    <row r="1179" spans="1:31" ht="18">
      <c r="A1179" s="727">
        <v>852</v>
      </c>
      <c r="B1179" s="1052">
        <v>16</v>
      </c>
      <c r="C1179" s="1052" t="s">
        <v>2196</v>
      </c>
      <c r="D1179" s="1052" t="s">
        <v>1542</v>
      </c>
      <c r="E1179" s="1052" t="s">
        <v>47</v>
      </c>
      <c r="F1179" s="1052">
        <v>20</v>
      </c>
      <c r="G1179" s="1053">
        <v>1575000</v>
      </c>
      <c r="H1179" s="1053">
        <f t="shared" si="170"/>
        <v>31500000</v>
      </c>
      <c r="I1179" s="896">
        <v>20</v>
      </c>
      <c r="J1179" s="897">
        <v>1575000</v>
      </c>
      <c r="K1179" s="692">
        <f t="shared" si="164"/>
        <v>31500000</v>
      </c>
      <c r="L1179" s="692">
        <f t="shared" si="165"/>
        <v>0</v>
      </c>
      <c r="M1179" s="894" t="s">
        <v>1543</v>
      </c>
      <c r="N1179" s="894" t="s">
        <v>2197</v>
      </c>
      <c r="O1179" s="894">
        <v>2</v>
      </c>
      <c r="P1179" s="403" t="s">
        <v>1545</v>
      </c>
      <c r="Q1179" s="2084">
        <f t="shared" si="171"/>
        <v>1</v>
      </c>
      <c r="R1179" s="2332">
        <f t="shared" si="172"/>
        <v>20</v>
      </c>
      <c r="S1179" s="2086"/>
      <c r="T1179" s="2086"/>
      <c r="U1179" s="2086"/>
      <c r="V1179" s="2086"/>
      <c r="W1179" s="2087"/>
      <c r="X1179" s="2088"/>
      <c r="Y1179" s="2089"/>
      <c r="Z1179" s="2085"/>
      <c r="AA1179" s="2085"/>
      <c r="AB1179" s="2085"/>
      <c r="AC1179" s="2085"/>
      <c r="AD1179" s="2085"/>
      <c r="AE1179" s="2089"/>
    </row>
    <row r="1180" spans="1:31" ht="18">
      <c r="A1180" s="727">
        <v>853</v>
      </c>
      <c r="B1180" s="1052">
        <v>17</v>
      </c>
      <c r="C1180" s="1052" t="s">
        <v>2198</v>
      </c>
      <c r="D1180" s="1052" t="s">
        <v>1542</v>
      </c>
      <c r="E1180" s="1052" t="s">
        <v>47</v>
      </c>
      <c r="F1180" s="1052">
        <v>20</v>
      </c>
      <c r="G1180" s="1053">
        <v>1575000</v>
      </c>
      <c r="H1180" s="1053">
        <f t="shared" si="170"/>
        <v>31500000</v>
      </c>
      <c r="I1180" s="896">
        <v>20</v>
      </c>
      <c r="J1180" s="897">
        <v>1575000</v>
      </c>
      <c r="K1180" s="692">
        <f t="shared" si="164"/>
        <v>31500000</v>
      </c>
      <c r="L1180" s="692">
        <f t="shared" si="165"/>
        <v>0</v>
      </c>
      <c r="M1180" s="894" t="s">
        <v>1543</v>
      </c>
      <c r="N1180" s="894" t="s">
        <v>2197</v>
      </c>
      <c r="O1180" s="894">
        <v>2</v>
      </c>
      <c r="P1180" s="403" t="s">
        <v>1545</v>
      </c>
      <c r="Q1180" s="2084">
        <f t="shared" si="171"/>
        <v>1</v>
      </c>
      <c r="R1180" s="2332">
        <f t="shared" si="172"/>
        <v>20</v>
      </c>
      <c r="S1180" s="2086"/>
      <c r="T1180" s="2086"/>
      <c r="U1180" s="2086"/>
      <c r="V1180" s="2086"/>
      <c r="W1180" s="2087"/>
      <c r="X1180" s="2088"/>
      <c r="Y1180" s="2089"/>
      <c r="Z1180" s="2085"/>
      <c r="AA1180" s="2085"/>
      <c r="AB1180" s="2085"/>
      <c r="AC1180" s="2085"/>
      <c r="AD1180" s="2085"/>
      <c r="AE1180" s="2089"/>
    </row>
    <row r="1181" spans="1:31" ht="18">
      <c r="A1181" s="727">
        <v>854</v>
      </c>
      <c r="B1181" s="1052">
        <v>18</v>
      </c>
      <c r="C1181" s="1052" t="s">
        <v>2199</v>
      </c>
      <c r="D1181" s="1052" t="s">
        <v>1542</v>
      </c>
      <c r="E1181" s="1052" t="s">
        <v>192</v>
      </c>
      <c r="F1181" s="1052">
        <v>10</v>
      </c>
      <c r="G1181" s="1053">
        <v>1575000</v>
      </c>
      <c r="H1181" s="1053">
        <f t="shared" si="170"/>
        <v>15750000</v>
      </c>
      <c r="I1181" s="896">
        <v>10</v>
      </c>
      <c r="J1181" s="897">
        <v>1575000</v>
      </c>
      <c r="K1181" s="692">
        <f t="shared" si="164"/>
        <v>15750000</v>
      </c>
      <c r="L1181" s="692">
        <f t="shared" si="165"/>
        <v>0</v>
      </c>
      <c r="M1181" s="894" t="s">
        <v>2200</v>
      </c>
      <c r="N1181" s="894" t="s">
        <v>2201</v>
      </c>
      <c r="O1181" s="894"/>
      <c r="P1181" s="403" t="s">
        <v>1545</v>
      </c>
      <c r="Q1181" s="2084">
        <f t="shared" si="171"/>
        <v>1</v>
      </c>
      <c r="R1181" s="2332">
        <f t="shared" si="172"/>
        <v>10</v>
      </c>
      <c r="S1181" s="2086"/>
      <c r="T1181" s="2086"/>
      <c r="U1181" s="2086"/>
      <c r="V1181" s="2086"/>
      <c r="W1181" s="2087"/>
      <c r="X1181" s="2088"/>
      <c r="Y1181" s="2089"/>
      <c r="Z1181" s="2085"/>
      <c r="AA1181" s="2085"/>
      <c r="AB1181" s="2085"/>
      <c r="AC1181" s="2085"/>
      <c r="AD1181" s="2085"/>
      <c r="AE1181" s="2089"/>
    </row>
    <row r="1182" spans="1:31" ht="18">
      <c r="A1182" s="727">
        <v>855</v>
      </c>
      <c r="B1182" s="1052">
        <v>19</v>
      </c>
      <c r="C1182" s="1052" t="s">
        <v>1483</v>
      </c>
      <c r="D1182" s="1052" t="s">
        <v>1542</v>
      </c>
      <c r="E1182" s="1052" t="s">
        <v>47</v>
      </c>
      <c r="F1182" s="1052">
        <v>50</v>
      </c>
      <c r="G1182" s="1053">
        <v>420000</v>
      </c>
      <c r="H1182" s="1053">
        <f t="shared" si="170"/>
        <v>21000000</v>
      </c>
      <c r="I1182" s="896">
        <v>50</v>
      </c>
      <c r="J1182" s="897">
        <v>420000</v>
      </c>
      <c r="K1182" s="692">
        <f t="shared" si="164"/>
        <v>21000000</v>
      </c>
      <c r="L1182" s="692">
        <f t="shared" si="165"/>
        <v>0</v>
      </c>
      <c r="M1182" s="894" t="s">
        <v>1543</v>
      </c>
      <c r="N1182" s="894" t="s">
        <v>2202</v>
      </c>
      <c r="O1182" s="894">
        <v>2</v>
      </c>
      <c r="P1182" s="403" t="s">
        <v>1545</v>
      </c>
      <c r="Q1182" s="2084">
        <f t="shared" si="171"/>
        <v>1</v>
      </c>
      <c r="R1182" s="2332">
        <f t="shared" si="172"/>
        <v>50</v>
      </c>
      <c r="S1182" s="2086"/>
      <c r="T1182" s="2086"/>
      <c r="U1182" s="2086"/>
      <c r="V1182" s="2086"/>
      <c r="W1182" s="2087"/>
      <c r="X1182" s="2088"/>
      <c r="Y1182" s="2089"/>
      <c r="Z1182" s="2085"/>
      <c r="AA1182" s="2085"/>
      <c r="AB1182" s="2085"/>
      <c r="AC1182" s="2085"/>
      <c r="AD1182" s="2085"/>
      <c r="AE1182" s="2089"/>
    </row>
    <row r="1183" spans="1:31" ht="18">
      <c r="A1183" s="733">
        <v>856</v>
      </c>
      <c r="B1183" s="1056">
        <v>20</v>
      </c>
      <c r="C1183" s="1056" t="s">
        <v>2203</v>
      </c>
      <c r="D1183" s="1056" t="s">
        <v>1542</v>
      </c>
      <c r="E1183" s="1056" t="s">
        <v>47</v>
      </c>
      <c r="F1183" s="1056">
        <v>100</v>
      </c>
      <c r="G1183" s="1057">
        <v>945000</v>
      </c>
      <c r="H1183" s="1057">
        <f t="shared" si="170"/>
        <v>94500000</v>
      </c>
      <c r="I1183" s="976">
        <v>100</v>
      </c>
      <c r="J1183" s="977">
        <v>945000</v>
      </c>
      <c r="K1183" s="738">
        <f t="shared" si="164"/>
        <v>94500000</v>
      </c>
      <c r="L1183" s="738">
        <f t="shared" si="165"/>
        <v>0</v>
      </c>
      <c r="M1183" s="1058" t="s">
        <v>2200</v>
      </c>
      <c r="N1183" s="1058" t="s">
        <v>2204</v>
      </c>
      <c r="O1183" s="1058"/>
      <c r="P1183" s="786" t="s">
        <v>1545</v>
      </c>
      <c r="Q1183" s="2084">
        <f t="shared" si="171"/>
        <v>1</v>
      </c>
      <c r="R1183" s="2332">
        <f t="shared" si="172"/>
        <v>100</v>
      </c>
      <c r="S1183" s="2086"/>
      <c r="T1183" s="2086"/>
      <c r="U1183" s="2086"/>
      <c r="V1183" s="2086"/>
      <c r="W1183" s="2087"/>
      <c r="X1183" s="2088"/>
      <c r="Y1183" s="2089"/>
      <c r="Z1183" s="2085"/>
      <c r="AA1183" s="2085"/>
      <c r="AB1183" s="2085"/>
      <c r="AC1183" s="2085"/>
      <c r="AD1183" s="2085"/>
      <c r="AE1183" s="2089"/>
    </row>
    <row r="1184" spans="1:31">
      <c r="A1184" s="740"/>
      <c r="B1184" s="761"/>
      <c r="C1184" s="761" t="s">
        <v>1579</v>
      </c>
      <c r="D1184" s="761"/>
      <c r="E1184" s="761"/>
      <c r="F1184" s="761"/>
      <c r="G1184" s="763"/>
      <c r="H1184" s="2301">
        <f>SUM(H1164:H1183)</f>
        <v>6496498000</v>
      </c>
      <c r="I1184" s="593"/>
      <c r="J1184" s="593"/>
      <c r="K1184" s="763">
        <f>SUM(K1164:K1183)</f>
        <v>6519424900</v>
      </c>
      <c r="L1184" s="743"/>
      <c r="M1184" s="142"/>
      <c r="N1184" s="142"/>
      <c r="O1184" s="142"/>
      <c r="P1184" s="142"/>
      <c r="Q1184" s="115"/>
    </row>
    <row r="1185" spans="1:31" ht="12" customHeight="1">
      <c r="A1185" s="2168" t="s">
        <v>2205</v>
      </c>
      <c r="B1185" s="2168"/>
      <c r="C1185" s="2168"/>
      <c r="D1185" s="2168"/>
      <c r="E1185" s="2168"/>
      <c r="F1185" s="2168"/>
      <c r="G1185" s="2168"/>
      <c r="H1185" s="2168"/>
      <c r="I1185" s="2168"/>
      <c r="J1185" s="2168"/>
      <c r="K1185" s="2168"/>
    </row>
    <row r="1186" spans="1:31" ht="12" customHeight="1">
      <c r="A1186" s="1059"/>
      <c r="B1186" s="1059"/>
      <c r="C1186" s="1059"/>
      <c r="D1186" s="1059"/>
      <c r="E1186" s="1059"/>
      <c r="F1186" s="1059"/>
      <c r="G1186" s="1059"/>
      <c r="H1186" s="1059"/>
      <c r="I1186" s="1059"/>
      <c r="J1186" s="1059"/>
      <c r="K1186" s="1059"/>
    </row>
    <row r="1187" spans="1:31" ht="12" customHeight="1">
      <c r="A1187" s="1059"/>
      <c r="B1187" s="1059"/>
      <c r="C1187" s="1059"/>
      <c r="D1187" s="1059"/>
      <c r="E1187" s="1059"/>
      <c r="F1187" s="1059"/>
      <c r="G1187" s="1059"/>
      <c r="H1187" s="1059"/>
      <c r="I1187" s="1059"/>
      <c r="J1187" s="1059"/>
      <c r="K1187" s="1059"/>
    </row>
    <row r="1188" spans="1:31" ht="12" customHeight="1"/>
    <row r="1189" spans="1:31" ht="12" customHeight="1"/>
    <row r="1190" spans="1:31" ht="12" customHeight="1"/>
    <row r="1191" spans="1:31">
      <c r="A1191" s="71" t="s">
        <v>2206</v>
      </c>
    </row>
    <row r="1192" spans="1:31" s="12" customFormat="1" ht="15.6" customHeight="1">
      <c r="A1192" s="2092" t="s">
        <v>5</v>
      </c>
      <c r="B1192" s="2092" t="s">
        <v>6</v>
      </c>
      <c r="C1192" s="2094" t="s">
        <v>7</v>
      </c>
      <c r="D1192" s="2096" t="s">
        <v>8</v>
      </c>
      <c r="E1192" s="2092" t="s">
        <v>9</v>
      </c>
      <c r="F1192" s="2098" t="s">
        <v>10</v>
      </c>
      <c r="G1192" s="2098"/>
      <c r="H1192" s="2098"/>
      <c r="I1192" s="2098" t="s">
        <v>11</v>
      </c>
      <c r="J1192" s="2098"/>
      <c r="K1192" s="2098"/>
      <c r="L1192" s="2099" t="s">
        <v>12</v>
      </c>
      <c r="M1192" s="9"/>
      <c r="N1192" s="9"/>
      <c r="O1192" s="9"/>
      <c r="P1192" s="2101" t="s">
        <v>13</v>
      </c>
      <c r="Q1192" s="2265" t="s">
        <v>4740</v>
      </c>
      <c r="R1192" s="2319" t="s">
        <v>4754</v>
      </c>
      <c r="S1192" s="2267" t="s">
        <v>4767</v>
      </c>
      <c r="T1192" s="2268"/>
      <c r="U1192" s="2268"/>
      <c r="V1192" s="2268"/>
      <c r="W1192" s="2269"/>
      <c r="X1192" s="2267" t="s">
        <v>4768</v>
      </c>
      <c r="Y1192" s="2268"/>
      <c r="Z1192" s="2268"/>
      <c r="AA1192" s="2268"/>
      <c r="AB1192" s="2268"/>
      <c r="AC1192" s="2268"/>
      <c r="AD1192" s="2268"/>
      <c r="AE1192" s="2269"/>
    </row>
    <row r="1193" spans="1:31" s="16" customFormat="1" ht="42.6" customHeight="1">
      <c r="A1193" s="2093"/>
      <c r="B1193" s="2093"/>
      <c r="C1193" s="2095"/>
      <c r="D1193" s="2097"/>
      <c r="E1193" s="2093"/>
      <c r="F1193" s="13" t="s">
        <v>14</v>
      </c>
      <c r="G1193" s="13" t="s">
        <v>15</v>
      </c>
      <c r="H1193" s="13" t="s">
        <v>16</v>
      </c>
      <c r="I1193" s="13" t="s">
        <v>14</v>
      </c>
      <c r="J1193" s="13" t="s">
        <v>15</v>
      </c>
      <c r="K1193" s="13" t="s">
        <v>16</v>
      </c>
      <c r="L1193" s="2100"/>
      <c r="M1193" s="14" t="s">
        <v>17</v>
      </c>
      <c r="N1193" s="14" t="s">
        <v>18</v>
      </c>
      <c r="O1193" s="14" t="s">
        <v>19</v>
      </c>
      <c r="P1193" s="2102"/>
      <c r="Q1193" s="2266"/>
      <c r="R1193" s="2320"/>
      <c r="S1193" s="2263" t="s">
        <v>4755</v>
      </c>
      <c r="T1193" s="2263" t="s">
        <v>4756</v>
      </c>
      <c r="U1193" s="2263" t="s">
        <v>4757</v>
      </c>
      <c r="V1193" s="2263" t="s">
        <v>4758</v>
      </c>
      <c r="W1193" s="2263" t="s">
        <v>4759</v>
      </c>
      <c r="X1193" s="2264" t="s">
        <v>4760</v>
      </c>
      <c r="Y1193" s="2264" t="s">
        <v>4761</v>
      </c>
      <c r="Z1193" s="2264" t="s">
        <v>4762</v>
      </c>
      <c r="AA1193" s="2264" t="s">
        <v>4763</v>
      </c>
      <c r="AB1193" s="2264" t="s">
        <v>4764</v>
      </c>
      <c r="AC1193" s="2264" t="s">
        <v>4765</v>
      </c>
      <c r="AD1193" s="2264" t="s">
        <v>4766</v>
      </c>
      <c r="AE1193" s="2264" t="s">
        <v>4755</v>
      </c>
    </row>
    <row r="1194" spans="1:31" s="70" customFormat="1">
      <c r="A1194" s="331">
        <v>1</v>
      </c>
      <c r="B1194" s="331">
        <v>2</v>
      </c>
      <c r="C1194" s="63">
        <v>3</v>
      </c>
      <c r="D1194" s="331">
        <v>4</v>
      </c>
      <c r="E1194" s="331">
        <v>5</v>
      </c>
      <c r="F1194" s="57">
        <v>6</v>
      </c>
      <c r="G1194" s="57">
        <v>7</v>
      </c>
      <c r="H1194" s="331">
        <v>8</v>
      </c>
      <c r="I1194" s="331">
        <v>9</v>
      </c>
      <c r="J1194" s="331">
        <v>10</v>
      </c>
      <c r="K1194" s="331">
        <v>11</v>
      </c>
      <c r="L1194" s="331">
        <v>12</v>
      </c>
      <c r="M1194" s="331">
        <v>9</v>
      </c>
      <c r="N1194" s="331">
        <v>10</v>
      </c>
      <c r="O1194" s="331">
        <v>11</v>
      </c>
      <c r="P1194" s="21">
        <v>13</v>
      </c>
      <c r="Q1194" s="22"/>
      <c r="R1194" s="2321"/>
      <c r="S1194" s="485"/>
    </row>
    <row r="1195" spans="1:31" ht="27">
      <c r="A1195" s="400">
        <v>857</v>
      </c>
      <c r="B1195" s="400">
        <v>1</v>
      </c>
      <c r="C1195" s="400" t="s">
        <v>2207</v>
      </c>
      <c r="D1195" s="400" t="s">
        <v>2208</v>
      </c>
      <c r="E1195" s="400" t="s">
        <v>47</v>
      </c>
      <c r="F1195" s="1060">
        <v>100</v>
      </c>
      <c r="G1195" s="1061">
        <v>470000</v>
      </c>
      <c r="H1195" s="1062">
        <f t="shared" ref="H1195:H1206" si="173">G1195*F1195</f>
        <v>47000000</v>
      </c>
      <c r="I1195" s="891">
        <v>100</v>
      </c>
      <c r="J1195" s="682">
        <v>531000</v>
      </c>
      <c r="K1195" s="682">
        <f>I1195*J1195</f>
        <v>53100000</v>
      </c>
      <c r="L1195" s="682">
        <f t="shared" ref="L1195:L1207" si="174">J1195-G1195</f>
        <v>61000</v>
      </c>
      <c r="M1195" s="1062" t="s">
        <v>2209</v>
      </c>
      <c r="N1195" s="1062" t="s">
        <v>2210</v>
      </c>
      <c r="O1195" s="1062" t="s">
        <v>2211</v>
      </c>
      <c r="P1195" s="400" t="s">
        <v>2212</v>
      </c>
      <c r="Q1195" s="2084">
        <f t="shared" ref="Q1195" si="175">R1195/F1195</f>
        <v>1</v>
      </c>
      <c r="R1195" s="2332">
        <f t="shared" ref="R1195" si="176">+F1195-(S1195+T1195+U1195+W1195+X1195+Y1195+Z1195+AA1195+AB1195+AC1195+AD1195+AE1195)</f>
        <v>100</v>
      </c>
      <c r="S1195" s="2086"/>
      <c r="T1195" s="2086"/>
      <c r="U1195" s="2086"/>
      <c r="V1195" s="2086"/>
      <c r="W1195" s="2087"/>
      <c r="X1195" s="2088"/>
      <c r="Y1195" s="2089"/>
      <c r="Z1195" s="2085"/>
      <c r="AA1195" s="2085"/>
      <c r="AB1195" s="2085"/>
      <c r="AC1195" s="2085"/>
      <c r="AD1195" s="2085"/>
      <c r="AE1195" s="2089"/>
    </row>
    <row r="1196" spans="1:31" s="73" customFormat="1" ht="18">
      <c r="A1196" s="403">
        <v>858</v>
      </c>
      <c r="B1196" s="403">
        <v>2</v>
      </c>
      <c r="C1196" s="403" t="s">
        <v>2213</v>
      </c>
      <c r="D1196" s="403" t="s">
        <v>2208</v>
      </c>
      <c r="E1196" s="403" t="s">
        <v>47</v>
      </c>
      <c r="F1196" s="1063">
        <v>15</v>
      </c>
      <c r="G1196" s="1064">
        <v>590000</v>
      </c>
      <c r="H1196" s="1065">
        <f t="shared" si="173"/>
        <v>8850000</v>
      </c>
      <c r="I1196" s="896">
        <v>15</v>
      </c>
      <c r="J1196" s="692">
        <v>667000</v>
      </c>
      <c r="K1196" s="692">
        <f t="shared" ref="K1196:K1207" si="177">I1196*J1196</f>
        <v>10005000</v>
      </c>
      <c r="L1196" s="692">
        <f t="shared" si="174"/>
        <v>77000</v>
      </c>
      <c r="M1196" s="1065" t="s">
        <v>2209</v>
      </c>
      <c r="N1196" s="1065" t="s">
        <v>2214</v>
      </c>
      <c r="O1196" s="1065" t="s">
        <v>2211</v>
      </c>
      <c r="P1196" s="403" t="s">
        <v>2212</v>
      </c>
      <c r="Q1196" s="2084">
        <f t="shared" ref="Q1196:Q1207" si="178">R1196/F1196</f>
        <v>1</v>
      </c>
      <c r="R1196" s="2332">
        <f t="shared" ref="R1196:R1207" si="179">+F1196-(S1196+T1196+U1196+W1196+X1196+Y1196+Z1196+AA1196+AB1196+AC1196+AD1196+AE1196)</f>
        <v>15</v>
      </c>
      <c r="S1196" s="2086"/>
      <c r="T1196" s="2086"/>
      <c r="U1196" s="2086"/>
      <c r="V1196" s="2086"/>
      <c r="W1196" s="2087"/>
      <c r="X1196" s="2088"/>
      <c r="Y1196" s="2089"/>
      <c r="Z1196" s="2085"/>
      <c r="AA1196" s="2085"/>
      <c r="AB1196" s="2085"/>
      <c r="AC1196" s="2085"/>
      <c r="AD1196" s="2085"/>
      <c r="AE1196" s="2089"/>
    </row>
    <row r="1197" spans="1:31" s="73" customFormat="1" ht="18">
      <c r="A1197" s="403">
        <v>859</v>
      </c>
      <c r="B1197" s="403">
        <v>3</v>
      </c>
      <c r="C1197" s="403" t="s">
        <v>2215</v>
      </c>
      <c r="D1197" s="403" t="s">
        <v>2208</v>
      </c>
      <c r="E1197" s="403" t="s">
        <v>47</v>
      </c>
      <c r="F1197" s="1063">
        <v>5</v>
      </c>
      <c r="G1197" s="1064">
        <v>2980000</v>
      </c>
      <c r="H1197" s="1065">
        <f t="shared" si="173"/>
        <v>14900000</v>
      </c>
      <c r="I1197" s="896">
        <v>5</v>
      </c>
      <c r="J1197" s="692">
        <v>3062000</v>
      </c>
      <c r="K1197" s="692">
        <f t="shared" si="177"/>
        <v>15310000</v>
      </c>
      <c r="L1197" s="692">
        <f t="shared" si="174"/>
        <v>82000</v>
      </c>
      <c r="M1197" s="1065" t="s">
        <v>2209</v>
      </c>
      <c r="N1197" s="1065" t="s">
        <v>2216</v>
      </c>
      <c r="O1197" s="1065" t="s">
        <v>2211</v>
      </c>
      <c r="P1197" s="403" t="s">
        <v>2212</v>
      </c>
      <c r="Q1197" s="2084">
        <f t="shared" si="178"/>
        <v>1</v>
      </c>
      <c r="R1197" s="2332">
        <f t="shared" si="179"/>
        <v>5</v>
      </c>
      <c r="S1197" s="2086"/>
      <c r="T1197" s="2086"/>
      <c r="U1197" s="2086"/>
      <c r="V1197" s="2086"/>
      <c r="W1197" s="2087"/>
      <c r="X1197" s="2088"/>
      <c r="Y1197" s="2089"/>
      <c r="Z1197" s="2085"/>
      <c r="AA1197" s="2085"/>
      <c r="AB1197" s="2085"/>
      <c r="AC1197" s="2085"/>
      <c r="AD1197" s="2085"/>
      <c r="AE1197" s="2089"/>
    </row>
    <row r="1198" spans="1:31" s="73" customFormat="1" ht="18">
      <c r="A1198" s="403">
        <v>860</v>
      </c>
      <c r="B1198" s="403">
        <v>4</v>
      </c>
      <c r="C1198" s="403" t="s">
        <v>2217</v>
      </c>
      <c r="D1198" s="403" t="s">
        <v>2208</v>
      </c>
      <c r="E1198" s="403" t="s">
        <v>47</v>
      </c>
      <c r="F1198" s="1063">
        <v>5</v>
      </c>
      <c r="G1198" s="1064">
        <v>2950000</v>
      </c>
      <c r="H1198" s="1065">
        <f t="shared" si="173"/>
        <v>14750000</v>
      </c>
      <c r="I1198" s="896">
        <v>5</v>
      </c>
      <c r="J1198" s="692">
        <v>3040000</v>
      </c>
      <c r="K1198" s="692">
        <f t="shared" si="177"/>
        <v>15200000</v>
      </c>
      <c r="L1198" s="692">
        <f t="shared" si="174"/>
        <v>90000</v>
      </c>
      <c r="M1198" s="1065" t="s">
        <v>2209</v>
      </c>
      <c r="N1198" s="1065" t="s">
        <v>2218</v>
      </c>
      <c r="O1198" s="1065" t="s">
        <v>2211</v>
      </c>
      <c r="P1198" s="403" t="s">
        <v>2212</v>
      </c>
      <c r="Q1198" s="2084">
        <f t="shared" si="178"/>
        <v>1</v>
      </c>
      <c r="R1198" s="2332">
        <f t="shared" si="179"/>
        <v>5</v>
      </c>
      <c r="S1198" s="2086"/>
      <c r="T1198" s="2086"/>
      <c r="U1198" s="2086"/>
      <c r="V1198" s="2086"/>
      <c r="W1198" s="2087"/>
      <c r="X1198" s="2088"/>
      <c r="Y1198" s="2089"/>
      <c r="Z1198" s="2085"/>
      <c r="AA1198" s="2085"/>
      <c r="AB1198" s="2085"/>
      <c r="AC1198" s="2085"/>
      <c r="AD1198" s="2085"/>
      <c r="AE1198" s="2089"/>
    </row>
    <row r="1199" spans="1:31" s="73" customFormat="1" ht="36">
      <c r="A1199" s="403">
        <v>861</v>
      </c>
      <c r="B1199" s="403">
        <v>5</v>
      </c>
      <c r="C1199" s="403" t="s">
        <v>2219</v>
      </c>
      <c r="D1199" s="403" t="s">
        <v>2208</v>
      </c>
      <c r="E1199" s="403" t="s">
        <v>47</v>
      </c>
      <c r="F1199" s="1063">
        <v>5</v>
      </c>
      <c r="G1199" s="1064">
        <v>6500000</v>
      </c>
      <c r="H1199" s="1065">
        <f t="shared" si="173"/>
        <v>32500000</v>
      </c>
      <c r="I1199" s="896">
        <v>5</v>
      </c>
      <c r="J1199" s="692">
        <v>6690000</v>
      </c>
      <c r="K1199" s="692">
        <f t="shared" si="177"/>
        <v>33450000</v>
      </c>
      <c r="L1199" s="692">
        <f t="shared" si="174"/>
        <v>190000</v>
      </c>
      <c r="M1199" s="1065" t="s">
        <v>2209</v>
      </c>
      <c r="N1199" s="1065" t="s">
        <v>2220</v>
      </c>
      <c r="O1199" s="1065" t="s">
        <v>2211</v>
      </c>
      <c r="P1199" s="403" t="s">
        <v>2212</v>
      </c>
      <c r="Q1199" s="2084">
        <f t="shared" si="178"/>
        <v>1</v>
      </c>
      <c r="R1199" s="2332">
        <f t="shared" si="179"/>
        <v>5</v>
      </c>
      <c r="S1199" s="2086"/>
      <c r="T1199" s="2086"/>
      <c r="U1199" s="2086"/>
      <c r="V1199" s="2086"/>
      <c r="W1199" s="2087"/>
      <c r="X1199" s="2088"/>
      <c r="Y1199" s="2089"/>
      <c r="Z1199" s="2085"/>
      <c r="AA1199" s="2085"/>
      <c r="AB1199" s="2085"/>
      <c r="AC1199" s="2085"/>
      <c r="AD1199" s="2085"/>
      <c r="AE1199" s="2089"/>
    </row>
    <row r="1200" spans="1:31" s="73" customFormat="1" ht="18">
      <c r="A1200" s="403">
        <v>862</v>
      </c>
      <c r="B1200" s="403">
        <v>6</v>
      </c>
      <c r="C1200" s="403" t="s">
        <v>2221</v>
      </c>
      <c r="D1200" s="403" t="s">
        <v>2208</v>
      </c>
      <c r="E1200" s="403" t="s">
        <v>47</v>
      </c>
      <c r="F1200" s="1063">
        <v>5</v>
      </c>
      <c r="G1200" s="1064">
        <v>3200000</v>
      </c>
      <c r="H1200" s="1065">
        <f t="shared" si="173"/>
        <v>16000000</v>
      </c>
      <c r="I1200" s="896">
        <v>5</v>
      </c>
      <c r="J1200" s="692">
        <v>4633000</v>
      </c>
      <c r="K1200" s="692">
        <f t="shared" si="177"/>
        <v>23165000</v>
      </c>
      <c r="L1200" s="692">
        <f t="shared" si="174"/>
        <v>1433000</v>
      </c>
      <c r="M1200" s="1065" t="s">
        <v>2209</v>
      </c>
      <c r="N1200" s="1065" t="s">
        <v>2222</v>
      </c>
      <c r="O1200" s="1065" t="s">
        <v>2211</v>
      </c>
      <c r="P1200" s="403" t="s">
        <v>2212</v>
      </c>
      <c r="Q1200" s="2084">
        <f t="shared" si="178"/>
        <v>1</v>
      </c>
      <c r="R1200" s="2332">
        <f t="shared" si="179"/>
        <v>5</v>
      </c>
      <c r="S1200" s="2086"/>
      <c r="T1200" s="2086"/>
      <c r="U1200" s="2086"/>
      <c r="V1200" s="2086"/>
      <c r="W1200" s="2087"/>
      <c r="X1200" s="2088"/>
      <c r="Y1200" s="2089"/>
      <c r="Z1200" s="2085"/>
      <c r="AA1200" s="2085"/>
      <c r="AB1200" s="2085"/>
      <c r="AC1200" s="2085"/>
      <c r="AD1200" s="2085"/>
      <c r="AE1200" s="2089"/>
    </row>
    <row r="1201" spans="1:31" s="73" customFormat="1" ht="18">
      <c r="A1201" s="403">
        <v>863</v>
      </c>
      <c r="B1201" s="403">
        <v>7</v>
      </c>
      <c r="C1201" s="403" t="s">
        <v>2223</v>
      </c>
      <c r="D1201" s="403" t="s">
        <v>2208</v>
      </c>
      <c r="E1201" s="403" t="s">
        <v>47</v>
      </c>
      <c r="F1201" s="1063">
        <v>5</v>
      </c>
      <c r="G1201" s="1064">
        <v>4950000</v>
      </c>
      <c r="H1201" s="1065">
        <f t="shared" si="173"/>
        <v>24750000</v>
      </c>
      <c r="I1201" s="896">
        <v>5</v>
      </c>
      <c r="J1201" s="692">
        <v>5096000</v>
      </c>
      <c r="K1201" s="692">
        <f t="shared" si="177"/>
        <v>25480000</v>
      </c>
      <c r="L1201" s="692">
        <f t="shared" si="174"/>
        <v>146000</v>
      </c>
      <c r="M1201" s="1065" t="s">
        <v>2209</v>
      </c>
      <c r="N1201" s="1065" t="s">
        <v>2224</v>
      </c>
      <c r="O1201" s="1065" t="s">
        <v>2211</v>
      </c>
      <c r="P1201" s="403" t="s">
        <v>2212</v>
      </c>
      <c r="Q1201" s="2084">
        <f t="shared" si="178"/>
        <v>1</v>
      </c>
      <c r="R1201" s="2332">
        <f t="shared" si="179"/>
        <v>5</v>
      </c>
      <c r="S1201" s="2086"/>
      <c r="T1201" s="2086"/>
      <c r="U1201" s="2086"/>
      <c r="V1201" s="2086"/>
      <c r="W1201" s="2087"/>
      <c r="X1201" s="2088"/>
      <c r="Y1201" s="2089"/>
      <c r="Z1201" s="2085"/>
      <c r="AA1201" s="2085"/>
      <c r="AB1201" s="2085"/>
      <c r="AC1201" s="2085"/>
      <c r="AD1201" s="2085"/>
      <c r="AE1201" s="2089"/>
    </row>
    <row r="1202" spans="1:31" s="73" customFormat="1" ht="18">
      <c r="A1202" s="403">
        <v>864</v>
      </c>
      <c r="B1202" s="403">
        <v>8</v>
      </c>
      <c r="C1202" s="403" t="s">
        <v>2225</v>
      </c>
      <c r="D1202" s="403" t="s">
        <v>2208</v>
      </c>
      <c r="E1202" s="403" t="s">
        <v>47</v>
      </c>
      <c r="F1202" s="1063">
        <v>5</v>
      </c>
      <c r="G1202" s="1064">
        <v>4200000</v>
      </c>
      <c r="H1202" s="1065">
        <f t="shared" si="173"/>
        <v>21000000</v>
      </c>
      <c r="I1202" s="896">
        <v>5</v>
      </c>
      <c r="J1202" s="692">
        <v>4317000</v>
      </c>
      <c r="K1202" s="692">
        <f t="shared" si="177"/>
        <v>21585000</v>
      </c>
      <c r="L1202" s="692">
        <f t="shared" si="174"/>
        <v>117000</v>
      </c>
      <c r="M1202" s="1065" t="s">
        <v>2209</v>
      </c>
      <c r="N1202" s="1065" t="s">
        <v>2226</v>
      </c>
      <c r="O1202" s="1065" t="s">
        <v>2211</v>
      </c>
      <c r="P1202" s="403" t="s">
        <v>2212</v>
      </c>
      <c r="Q1202" s="2084">
        <f t="shared" si="178"/>
        <v>1</v>
      </c>
      <c r="R1202" s="2332">
        <f t="shared" si="179"/>
        <v>5</v>
      </c>
      <c r="S1202" s="2086"/>
      <c r="T1202" s="2086"/>
      <c r="U1202" s="2086"/>
      <c r="V1202" s="2086"/>
      <c r="W1202" s="2087"/>
      <c r="X1202" s="2088"/>
      <c r="Y1202" s="2089"/>
      <c r="Z1202" s="2085"/>
      <c r="AA1202" s="2085"/>
      <c r="AB1202" s="2085"/>
      <c r="AC1202" s="2085"/>
      <c r="AD1202" s="2085"/>
      <c r="AE1202" s="2089"/>
    </row>
    <row r="1203" spans="1:31" s="73" customFormat="1" ht="36">
      <c r="A1203" s="403">
        <v>865</v>
      </c>
      <c r="B1203" s="403">
        <v>9</v>
      </c>
      <c r="C1203" s="403" t="s">
        <v>2227</v>
      </c>
      <c r="D1203" s="403" t="s">
        <v>2208</v>
      </c>
      <c r="E1203" s="403" t="s">
        <v>47</v>
      </c>
      <c r="F1203" s="1063">
        <v>5</v>
      </c>
      <c r="G1203" s="1064">
        <v>5100000</v>
      </c>
      <c r="H1203" s="1065">
        <f t="shared" si="173"/>
        <v>25500000</v>
      </c>
      <c r="I1203" s="896">
        <v>5</v>
      </c>
      <c r="J1203" s="692">
        <v>5243000</v>
      </c>
      <c r="K1203" s="692">
        <f t="shared" si="177"/>
        <v>26215000</v>
      </c>
      <c r="L1203" s="692">
        <f t="shared" si="174"/>
        <v>143000</v>
      </c>
      <c r="M1203" s="1065" t="s">
        <v>2209</v>
      </c>
      <c r="N1203" s="1065" t="s">
        <v>2228</v>
      </c>
      <c r="O1203" s="1065" t="s">
        <v>2211</v>
      </c>
      <c r="P1203" s="403" t="s">
        <v>2212</v>
      </c>
      <c r="Q1203" s="2084">
        <f t="shared" si="178"/>
        <v>1</v>
      </c>
      <c r="R1203" s="2332">
        <f t="shared" si="179"/>
        <v>5</v>
      </c>
      <c r="S1203" s="2086"/>
      <c r="T1203" s="2086"/>
      <c r="U1203" s="2086"/>
      <c r="V1203" s="2086"/>
      <c r="W1203" s="2087"/>
      <c r="X1203" s="2088"/>
      <c r="Y1203" s="2089"/>
      <c r="Z1203" s="2085"/>
      <c r="AA1203" s="2085"/>
      <c r="AB1203" s="2085"/>
      <c r="AC1203" s="2085"/>
      <c r="AD1203" s="2085"/>
      <c r="AE1203" s="2089"/>
    </row>
    <row r="1204" spans="1:31" s="73" customFormat="1" ht="36">
      <c r="A1204" s="403">
        <v>866</v>
      </c>
      <c r="B1204" s="403">
        <v>10</v>
      </c>
      <c r="C1204" s="403" t="s">
        <v>2229</v>
      </c>
      <c r="D1204" s="403" t="s">
        <v>2208</v>
      </c>
      <c r="E1204" s="403" t="s">
        <v>47</v>
      </c>
      <c r="F1204" s="1063">
        <v>5</v>
      </c>
      <c r="G1204" s="1064">
        <v>6500000</v>
      </c>
      <c r="H1204" s="1065">
        <f t="shared" si="173"/>
        <v>32500000</v>
      </c>
      <c r="I1204" s="896">
        <v>5</v>
      </c>
      <c r="J1204" s="692">
        <v>6882000</v>
      </c>
      <c r="K1204" s="692">
        <f t="shared" si="177"/>
        <v>34410000</v>
      </c>
      <c r="L1204" s="692">
        <f t="shared" si="174"/>
        <v>382000</v>
      </c>
      <c r="M1204" s="1065" t="s">
        <v>2209</v>
      </c>
      <c r="N1204" s="1065" t="s">
        <v>2230</v>
      </c>
      <c r="O1204" s="1065" t="s">
        <v>2211</v>
      </c>
      <c r="P1204" s="403" t="s">
        <v>2212</v>
      </c>
      <c r="Q1204" s="2084">
        <f t="shared" si="178"/>
        <v>1</v>
      </c>
      <c r="R1204" s="2332">
        <f t="shared" si="179"/>
        <v>5</v>
      </c>
      <c r="S1204" s="2086"/>
      <c r="T1204" s="2086"/>
      <c r="U1204" s="2086"/>
      <c r="V1204" s="2086"/>
      <c r="W1204" s="2087"/>
      <c r="X1204" s="2088"/>
      <c r="Y1204" s="2089"/>
      <c r="Z1204" s="2085"/>
      <c r="AA1204" s="2085"/>
      <c r="AB1204" s="2085"/>
      <c r="AC1204" s="2085"/>
      <c r="AD1204" s="2085"/>
      <c r="AE1204" s="2089"/>
    </row>
    <row r="1205" spans="1:31" s="73" customFormat="1" ht="36">
      <c r="A1205" s="403">
        <v>867</v>
      </c>
      <c r="B1205" s="403">
        <v>11</v>
      </c>
      <c r="C1205" s="403" t="s">
        <v>2231</v>
      </c>
      <c r="D1205" s="403" t="s">
        <v>2208</v>
      </c>
      <c r="E1205" s="403" t="s">
        <v>47</v>
      </c>
      <c r="F1205" s="1063">
        <v>5</v>
      </c>
      <c r="G1205" s="1064">
        <v>5200000</v>
      </c>
      <c r="H1205" s="1065">
        <f t="shared" si="173"/>
        <v>26000000</v>
      </c>
      <c r="I1205" s="896">
        <v>5</v>
      </c>
      <c r="J1205" s="692">
        <v>5266000</v>
      </c>
      <c r="K1205" s="692">
        <f t="shared" si="177"/>
        <v>26330000</v>
      </c>
      <c r="L1205" s="692">
        <f t="shared" si="174"/>
        <v>66000</v>
      </c>
      <c r="M1205" s="1065" t="s">
        <v>2209</v>
      </c>
      <c r="N1205" s="1065" t="s">
        <v>2232</v>
      </c>
      <c r="O1205" s="1065" t="s">
        <v>2211</v>
      </c>
      <c r="P1205" s="403" t="s">
        <v>2212</v>
      </c>
      <c r="Q1205" s="2084">
        <f t="shared" si="178"/>
        <v>1</v>
      </c>
      <c r="R1205" s="2332">
        <f t="shared" si="179"/>
        <v>5</v>
      </c>
      <c r="S1205" s="2086"/>
      <c r="T1205" s="2086"/>
      <c r="U1205" s="2086"/>
      <c r="V1205" s="2086"/>
      <c r="W1205" s="2087"/>
      <c r="X1205" s="2088"/>
      <c r="Y1205" s="2089"/>
      <c r="Z1205" s="2085"/>
      <c r="AA1205" s="2085"/>
      <c r="AB1205" s="2085"/>
      <c r="AC1205" s="2085"/>
      <c r="AD1205" s="2085"/>
      <c r="AE1205" s="2089"/>
    </row>
    <row r="1206" spans="1:31" s="73" customFormat="1" ht="18">
      <c r="A1206" s="403">
        <v>868</v>
      </c>
      <c r="B1206" s="403">
        <v>12</v>
      </c>
      <c r="C1206" s="403" t="s">
        <v>2233</v>
      </c>
      <c r="D1206" s="403" t="s">
        <v>2208</v>
      </c>
      <c r="E1206" s="403" t="s">
        <v>47</v>
      </c>
      <c r="F1206" s="1063">
        <v>30</v>
      </c>
      <c r="G1206" s="1064">
        <v>510000</v>
      </c>
      <c r="H1206" s="1065">
        <f t="shared" si="173"/>
        <v>15300000</v>
      </c>
      <c r="I1206" s="896">
        <v>30</v>
      </c>
      <c r="J1206" s="692">
        <v>520000</v>
      </c>
      <c r="K1206" s="692">
        <f t="shared" si="177"/>
        <v>15600000</v>
      </c>
      <c r="L1206" s="692">
        <f t="shared" si="174"/>
        <v>10000</v>
      </c>
      <c r="M1206" s="1065" t="s">
        <v>2209</v>
      </c>
      <c r="N1206" s="1065" t="s">
        <v>2234</v>
      </c>
      <c r="O1206" s="1065" t="s">
        <v>2211</v>
      </c>
      <c r="P1206" s="403" t="s">
        <v>2212</v>
      </c>
      <c r="Q1206" s="2084">
        <f t="shared" si="178"/>
        <v>1</v>
      </c>
      <c r="R1206" s="2332">
        <f t="shared" si="179"/>
        <v>30</v>
      </c>
      <c r="S1206" s="2086"/>
      <c r="T1206" s="2086"/>
      <c r="U1206" s="2086"/>
      <c r="V1206" s="2086"/>
      <c r="W1206" s="2087"/>
      <c r="X1206" s="2088"/>
      <c r="Y1206" s="2089"/>
      <c r="Z1206" s="2085"/>
      <c r="AA1206" s="2085"/>
      <c r="AB1206" s="2085"/>
      <c r="AC1206" s="2085"/>
      <c r="AD1206" s="2085"/>
      <c r="AE1206" s="2089"/>
    </row>
    <row r="1207" spans="1:31" s="73" customFormat="1" ht="36">
      <c r="A1207" s="786">
        <v>869</v>
      </c>
      <c r="B1207" s="786">
        <v>13</v>
      </c>
      <c r="C1207" s="786" t="s">
        <v>2235</v>
      </c>
      <c r="D1207" s="786" t="s">
        <v>2208</v>
      </c>
      <c r="E1207" s="786" t="s">
        <v>47</v>
      </c>
      <c r="F1207" s="1066">
        <v>5</v>
      </c>
      <c r="G1207" s="1067">
        <v>5200000</v>
      </c>
      <c r="H1207" s="1068">
        <f>G1207*F1207</f>
        <v>26000000</v>
      </c>
      <c r="I1207" s="976">
        <v>5</v>
      </c>
      <c r="J1207" s="738">
        <v>5266000</v>
      </c>
      <c r="K1207" s="738">
        <f t="shared" si="177"/>
        <v>26330000</v>
      </c>
      <c r="L1207" s="738">
        <f t="shared" si="174"/>
        <v>66000</v>
      </c>
      <c r="M1207" s="1069" t="s">
        <v>2209</v>
      </c>
      <c r="N1207" s="1069" t="s">
        <v>2236</v>
      </c>
      <c r="O1207" s="1069" t="s">
        <v>2211</v>
      </c>
      <c r="P1207" s="786" t="s">
        <v>2212</v>
      </c>
      <c r="Q1207" s="2084">
        <f t="shared" si="178"/>
        <v>1</v>
      </c>
      <c r="R1207" s="2332">
        <f t="shared" si="179"/>
        <v>5</v>
      </c>
      <c r="S1207" s="2086"/>
      <c r="T1207" s="2086"/>
      <c r="U1207" s="2086"/>
      <c r="V1207" s="2086"/>
      <c r="W1207" s="2087"/>
      <c r="X1207" s="2088"/>
      <c r="Y1207" s="2089"/>
      <c r="Z1207" s="2085"/>
      <c r="AA1207" s="2085"/>
      <c r="AB1207" s="2085"/>
      <c r="AC1207" s="2085"/>
      <c r="AD1207" s="2085"/>
      <c r="AE1207" s="2089"/>
    </row>
    <row r="1208" spans="1:31" s="73" customFormat="1">
      <c r="A1208" s="2166" t="s">
        <v>2237</v>
      </c>
      <c r="B1208" s="2166"/>
      <c r="C1208" s="2166"/>
      <c r="D1208" s="2166"/>
      <c r="E1208" s="2166"/>
      <c r="F1208" s="2166"/>
      <c r="G1208" s="2166"/>
      <c r="H1208" s="2298">
        <f>SUM(H1195:H1207)</f>
        <v>305050000</v>
      </c>
      <c r="I1208" s="142"/>
      <c r="J1208" s="142"/>
      <c r="K1208" s="659">
        <f>SUM(K1195:K1207)</f>
        <v>326180000</v>
      </c>
      <c r="L1208" s="743"/>
      <c r="M1208" s="142"/>
      <c r="N1208" s="142"/>
      <c r="O1208" s="142"/>
      <c r="P1208" s="142"/>
      <c r="Q1208" s="115"/>
      <c r="R1208" s="1024"/>
      <c r="S1208" s="75"/>
      <c r="T1208" s="71"/>
      <c r="U1208" s="71"/>
      <c r="V1208" s="71"/>
      <c r="W1208" s="71"/>
      <c r="X1208" s="71"/>
      <c r="Y1208" s="71"/>
      <c r="Z1208" s="71"/>
      <c r="AA1208" s="71"/>
      <c r="AB1208" s="71"/>
      <c r="AC1208" s="71"/>
    </row>
    <row r="1209" spans="1:31" s="73" customFormat="1">
      <c r="A1209" s="1070"/>
      <c r="B1209" s="1070"/>
      <c r="C1209" s="1070"/>
      <c r="D1209" s="1071"/>
      <c r="E1209" s="1071"/>
      <c r="F1209" s="1072"/>
      <c r="G1209" s="1072"/>
      <c r="H1209" s="1073"/>
      <c r="I1209" s="71"/>
      <c r="J1209" s="71"/>
      <c r="K1209" s="71"/>
      <c r="M1209" s="71"/>
      <c r="N1209" s="71"/>
      <c r="O1209" s="71"/>
      <c r="P1209" s="74"/>
      <c r="Q1209" s="74"/>
      <c r="R1209" s="1024"/>
      <c r="S1209" s="75"/>
      <c r="T1209" s="71"/>
      <c r="U1209" s="71"/>
      <c r="V1209" s="71"/>
      <c r="W1209" s="71"/>
      <c r="X1209" s="71"/>
      <c r="Y1209" s="71"/>
      <c r="Z1209" s="71"/>
      <c r="AA1209" s="71"/>
      <c r="AB1209" s="71"/>
      <c r="AC1209" s="71"/>
    </row>
    <row r="1210" spans="1:31" s="73" customFormat="1">
      <c r="A1210" s="2167" t="s">
        <v>2238</v>
      </c>
      <c r="B1210" s="2167"/>
      <c r="C1210" s="2167"/>
      <c r="D1210" s="2167"/>
      <c r="E1210" s="2167"/>
      <c r="F1210" s="2167"/>
      <c r="G1210" s="2167"/>
      <c r="H1210" s="2167"/>
      <c r="I1210" s="71"/>
      <c r="J1210" s="71"/>
      <c r="K1210" s="71"/>
      <c r="M1210" s="71"/>
      <c r="N1210" s="71"/>
      <c r="O1210" s="71"/>
      <c r="P1210" s="74"/>
      <c r="Q1210" s="74"/>
      <c r="R1210" s="1024"/>
      <c r="S1210" s="75"/>
      <c r="T1210" s="71"/>
      <c r="U1210" s="71"/>
      <c r="V1210" s="71"/>
      <c r="W1210" s="71"/>
      <c r="X1210" s="71"/>
      <c r="Y1210" s="71"/>
      <c r="Z1210" s="71"/>
      <c r="AA1210" s="71"/>
      <c r="AB1210" s="71"/>
      <c r="AC1210" s="71"/>
    </row>
    <row r="1211" spans="1:31" s="73" customFormat="1" ht="15" customHeight="1">
      <c r="A1211" s="1074"/>
      <c r="B1211" s="1074"/>
      <c r="C1211" s="1074"/>
      <c r="D1211" s="1074"/>
      <c r="E1211" s="1074"/>
      <c r="F1211" s="1074"/>
      <c r="G1211" s="1074"/>
      <c r="H1211" s="1074"/>
      <c r="I1211" s="71"/>
      <c r="J1211" s="71"/>
      <c r="K1211" s="71"/>
      <c r="M1211" s="71"/>
      <c r="N1211" s="71"/>
      <c r="O1211" s="71"/>
      <c r="P1211" s="74"/>
      <c r="Q1211" s="74"/>
      <c r="R1211" s="1024"/>
      <c r="S1211" s="75"/>
      <c r="T1211" s="71"/>
      <c r="U1211" s="71"/>
      <c r="V1211" s="71"/>
      <c r="W1211" s="71"/>
      <c r="X1211" s="71"/>
      <c r="Y1211" s="71"/>
      <c r="Z1211" s="71"/>
      <c r="AA1211" s="71"/>
      <c r="AB1211" s="71"/>
      <c r="AC1211" s="71"/>
    </row>
    <row r="1212" spans="1:31" s="73" customFormat="1" ht="15" customHeight="1">
      <c r="A1212" s="1074"/>
      <c r="B1212" s="1074"/>
      <c r="C1212" s="1074"/>
      <c r="D1212" s="1074"/>
      <c r="E1212" s="1074"/>
      <c r="F1212" s="1074"/>
      <c r="G1212" s="1074"/>
      <c r="H1212" s="1074"/>
      <c r="I1212" s="71"/>
      <c r="J1212" s="71"/>
      <c r="K1212" s="71"/>
      <c r="M1212" s="71"/>
      <c r="N1212" s="71"/>
      <c r="O1212" s="71"/>
      <c r="P1212" s="74"/>
      <c r="Q1212" s="74"/>
      <c r="R1212" s="1024"/>
      <c r="S1212" s="75"/>
      <c r="T1212" s="71"/>
      <c r="U1212" s="71"/>
      <c r="V1212" s="71"/>
      <c r="W1212" s="71"/>
      <c r="X1212" s="71"/>
      <c r="Y1212" s="71"/>
      <c r="Z1212" s="71"/>
      <c r="AA1212" s="71"/>
      <c r="AB1212" s="71"/>
      <c r="AC1212" s="71"/>
    </row>
    <row r="1213" spans="1:31" s="73" customFormat="1" ht="15" customHeight="1">
      <c r="A1213" s="1074"/>
      <c r="B1213" s="1074"/>
      <c r="C1213" s="1074"/>
      <c r="D1213" s="1074"/>
      <c r="E1213" s="1074"/>
      <c r="F1213" s="1074"/>
      <c r="G1213" s="1074"/>
      <c r="H1213" s="1074"/>
      <c r="I1213" s="71"/>
      <c r="J1213" s="71"/>
      <c r="K1213" s="71"/>
      <c r="M1213" s="71"/>
      <c r="N1213" s="71"/>
      <c r="O1213" s="71"/>
      <c r="P1213" s="74"/>
      <c r="Q1213" s="74"/>
      <c r="R1213" s="1024"/>
      <c r="S1213" s="75"/>
      <c r="T1213" s="71"/>
      <c r="U1213" s="71"/>
      <c r="V1213" s="71"/>
      <c r="W1213" s="71"/>
      <c r="X1213" s="71"/>
      <c r="Y1213" s="71"/>
      <c r="Z1213" s="71"/>
      <c r="AA1213" s="71"/>
      <c r="AB1213" s="71"/>
      <c r="AC1213" s="71"/>
    </row>
    <row r="1214" spans="1:31" s="73" customFormat="1" ht="15" customHeight="1">
      <c r="A1214" s="1074"/>
      <c r="B1214" s="1074"/>
      <c r="C1214" s="1074"/>
      <c r="D1214" s="1074"/>
      <c r="E1214" s="1074"/>
      <c r="F1214" s="1074"/>
      <c r="G1214" s="1074"/>
      <c r="H1214" s="1074"/>
      <c r="I1214" s="71"/>
      <c r="J1214" s="71"/>
      <c r="K1214" s="71"/>
      <c r="M1214" s="71"/>
      <c r="N1214" s="71"/>
      <c r="O1214" s="71"/>
      <c r="P1214" s="74"/>
      <c r="Q1214" s="74"/>
      <c r="R1214" s="1024"/>
      <c r="S1214" s="75"/>
      <c r="T1214" s="71"/>
      <c r="U1214" s="71"/>
      <c r="V1214" s="71"/>
      <c r="W1214" s="71"/>
      <c r="X1214" s="71"/>
      <c r="Y1214" s="71"/>
      <c r="Z1214" s="71"/>
      <c r="AA1214" s="71"/>
      <c r="AB1214" s="71"/>
      <c r="AC1214" s="71"/>
    </row>
    <row r="1217" spans="1:31">
      <c r="A1217" s="71" t="s">
        <v>2239</v>
      </c>
    </row>
    <row r="1219" spans="1:31" s="12" customFormat="1" ht="15.6" customHeight="1">
      <c r="A1219" s="2092" t="s">
        <v>5</v>
      </c>
      <c r="B1219" s="2092" t="s">
        <v>6</v>
      </c>
      <c r="C1219" s="2094" t="s">
        <v>7</v>
      </c>
      <c r="D1219" s="2096" t="s">
        <v>8</v>
      </c>
      <c r="E1219" s="2092" t="s">
        <v>9</v>
      </c>
      <c r="F1219" s="2098" t="s">
        <v>10</v>
      </c>
      <c r="G1219" s="2098"/>
      <c r="H1219" s="2098"/>
      <c r="I1219" s="2098" t="s">
        <v>11</v>
      </c>
      <c r="J1219" s="2098"/>
      <c r="K1219" s="2098"/>
      <c r="L1219" s="2099" t="s">
        <v>12</v>
      </c>
      <c r="M1219" s="9"/>
      <c r="N1219" s="9"/>
      <c r="O1219" s="9"/>
      <c r="P1219" s="2101" t="s">
        <v>13</v>
      </c>
      <c r="Q1219" s="2265" t="s">
        <v>4740</v>
      </c>
      <c r="R1219" s="2319" t="s">
        <v>4754</v>
      </c>
      <c r="S1219" s="2267" t="s">
        <v>4767</v>
      </c>
      <c r="T1219" s="2268"/>
      <c r="U1219" s="2268"/>
      <c r="V1219" s="2268"/>
      <c r="W1219" s="2269"/>
      <c r="X1219" s="2267" t="s">
        <v>4768</v>
      </c>
      <c r="Y1219" s="2268"/>
      <c r="Z1219" s="2268"/>
      <c r="AA1219" s="2268"/>
      <c r="AB1219" s="2268"/>
      <c r="AC1219" s="2268"/>
      <c r="AD1219" s="2268"/>
      <c r="AE1219" s="2269"/>
    </row>
    <row r="1220" spans="1:31" s="16" customFormat="1" ht="42.6" customHeight="1">
      <c r="A1220" s="2093"/>
      <c r="B1220" s="2093"/>
      <c r="C1220" s="2095"/>
      <c r="D1220" s="2097"/>
      <c r="E1220" s="2093"/>
      <c r="F1220" s="13" t="s">
        <v>14</v>
      </c>
      <c r="G1220" s="13" t="s">
        <v>15</v>
      </c>
      <c r="H1220" s="13" t="s">
        <v>16</v>
      </c>
      <c r="I1220" s="13" t="s">
        <v>14</v>
      </c>
      <c r="J1220" s="13" t="s">
        <v>15</v>
      </c>
      <c r="K1220" s="13" t="s">
        <v>16</v>
      </c>
      <c r="L1220" s="2100"/>
      <c r="M1220" s="14" t="s">
        <v>17</v>
      </c>
      <c r="N1220" s="14" t="s">
        <v>18</v>
      </c>
      <c r="O1220" s="14" t="s">
        <v>19</v>
      </c>
      <c r="P1220" s="2102"/>
      <c r="Q1220" s="2266"/>
      <c r="R1220" s="2320"/>
      <c r="S1220" s="2263" t="s">
        <v>4755</v>
      </c>
      <c r="T1220" s="2263" t="s">
        <v>4756</v>
      </c>
      <c r="U1220" s="2263" t="s">
        <v>4757</v>
      </c>
      <c r="V1220" s="2263" t="s">
        <v>4758</v>
      </c>
      <c r="W1220" s="2263" t="s">
        <v>4759</v>
      </c>
      <c r="X1220" s="2264" t="s">
        <v>4760</v>
      </c>
      <c r="Y1220" s="2264" t="s">
        <v>4761</v>
      </c>
      <c r="Z1220" s="2264" t="s">
        <v>4762</v>
      </c>
      <c r="AA1220" s="2264" t="s">
        <v>4763</v>
      </c>
      <c r="AB1220" s="2264" t="s">
        <v>4764</v>
      </c>
      <c r="AC1220" s="2264" t="s">
        <v>4765</v>
      </c>
      <c r="AD1220" s="2264" t="s">
        <v>4766</v>
      </c>
      <c r="AE1220" s="2264" t="s">
        <v>4755</v>
      </c>
    </row>
    <row r="1221" spans="1:31" s="70" customFormat="1">
      <c r="A1221" s="331">
        <v>1</v>
      </c>
      <c r="B1221" s="331">
        <v>2</v>
      </c>
      <c r="C1221" s="63">
        <v>3</v>
      </c>
      <c r="D1221" s="331">
        <v>4</v>
      </c>
      <c r="E1221" s="331">
        <v>5</v>
      </c>
      <c r="F1221" s="57">
        <v>6</v>
      </c>
      <c r="G1221" s="57">
        <v>7</v>
      </c>
      <c r="H1221" s="331">
        <v>8</v>
      </c>
      <c r="I1221" s="331">
        <v>9</v>
      </c>
      <c r="J1221" s="331">
        <v>10</v>
      </c>
      <c r="K1221" s="331">
        <v>11</v>
      </c>
      <c r="L1221" s="331">
        <v>12</v>
      </c>
      <c r="M1221" s="331">
        <v>9</v>
      </c>
      <c r="N1221" s="331">
        <v>10</v>
      </c>
      <c r="O1221" s="331">
        <v>11</v>
      </c>
      <c r="P1221" s="21">
        <v>13</v>
      </c>
      <c r="Q1221" s="22"/>
      <c r="R1221" s="2321"/>
      <c r="S1221" s="485"/>
    </row>
    <row r="1222" spans="1:31" ht="27">
      <c r="A1222" s="400">
        <v>870</v>
      </c>
      <c r="B1222" s="400">
        <v>1</v>
      </c>
      <c r="C1222" s="400" t="s">
        <v>2240</v>
      </c>
      <c r="D1222" s="722" t="s">
        <v>1698</v>
      </c>
      <c r="E1222" s="400" t="s">
        <v>47</v>
      </c>
      <c r="F1222" s="1060">
        <v>15</v>
      </c>
      <c r="G1222" s="1075">
        <v>4100000</v>
      </c>
      <c r="H1222" s="1076">
        <f>G1222*F1222</f>
        <v>61500000</v>
      </c>
      <c r="I1222" s="681">
        <v>15</v>
      </c>
      <c r="J1222" s="682">
        <v>4300000</v>
      </c>
      <c r="K1222" s="682">
        <f t="shared" ref="K1222:K1252" si="180">I1222*J1222</f>
        <v>64500000</v>
      </c>
      <c r="L1222" s="682">
        <f t="shared" ref="L1222:L1252" si="181">J1222-G1222</f>
        <v>200000</v>
      </c>
      <c r="M1222" s="400" t="s">
        <v>2241</v>
      </c>
      <c r="N1222" s="400" t="s">
        <v>2242</v>
      </c>
      <c r="O1222" s="400" t="s">
        <v>2243</v>
      </c>
      <c r="P1222" s="400" t="s">
        <v>2244</v>
      </c>
      <c r="Q1222" s="2084">
        <f t="shared" ref="Q1222" si="182">R1222/F1222</f>
        <v>1</v>
      </c>
      <c r="R1222" s="2332">
        <f t="shared" ref="R1222" si="183">+F1222-(S1222+T1222+U1222+W1222+X1222+Y1222+Z1222+AA1222+AB1222+AC1222+AD1222+AE1222)</f>
        <v>15</v>
      </c>
      <c r="S1222" s="2086"/>
      <c r="T1222" s="2086"/>
      <c r="U1222" s="2086"/>
      <c r="V1222" s="2086"/>
      <c r="W1222" s="2087"/>
      <c r="X1222" s="2088"/>
      <c r="Y1222" s="2089"/>
      <c r="Z1222" s="2085"/>
      <c r="AA1222" s="2085"/>
      <c r="AB1222" s="2085"/>
      <c r="AC1222" s="2085"/>
      <c r="AD1222" s="2085"/>
      <c r="AE1222" s="2089"/>
    </row>
    <row r="1223" spans="1:31" ht="27">
      <c r="A1223" s="403">
        <v>871</v>
      </c>
      <c r="B1223" s="403">
        <v>2</v>
      </c>
      <c r="C1223" s="403" t="s">
        <v>2245</v>
      </c>
      <c r="D1223" s="729" t="s">
        <v>1698</v>
      </c>
      <c r="E1223" s="403" t="s">
        <v>47</v>
      </c>
      <c r="F1223" s="1063">
        <v>10</v>
      </c>
      <c r="G1223" s="1077">
        <v>4900000</v>
      </c>
      <c r="H1223" s="1078">
        <f t="shared" ref="H1223:H1252" si="184">G1223*F1223</f>
        <v>49000000</v>
      </c>
      <c r="I1223" s="691">
        <v>10</v>
      </c>
      <c r="J1223" s="692">
        <v>5200000</v>
      </c>
      <c r="K1223" s="692">
        <f t="shared" si="180"/>
        <v>52000000</v>
      </c>
      <c r="L1223" s="692">
        <f t="shared" si="181"/>
        <v>300000</v>
      </c>
      <c r="M1223" s="403" t="s">
        <v>2241</v>
      </c>
      <c r="N1223" s="403" t="s">
        <v>2246</v>
      </c>
      <c r="O1223" s="403" t="s">
        <v>2243</v>
      </c>
      <c r="P1223" s="403" t="s">
        <v>2244</v>
      </c>
      <c r="Q1223" s="2084">
        <f t="shared" ref="Q1223:Q1252" si="185">R1223/F1223</f>
        <v>1</v>
      </c>
      <c r="R1223" s="2332">
        <f t="shared" ref="R1223:R1252" si="186">+F1223-(S1223+T1223+U1223+W1223+X1223+Y1223+Z1223+AA1223+AB1223+AC1223+AD1223+AE1223)</f>
        <v>10</v>
      </c>
      <c r="S1223" s="2086"/>
      <c r="T1223" s="2086"/>
      <c r="U1223" s="2086"/>
      <c r="V1223" s="2086"/>
      <c r="W1223" s="2087"/>
      <c r="X1223" s="2088"/>
      <c r="Y1223" s="2089"/>
      <c r="Z1223" s="2085"/>
      <c r="AA1223" s="2085"/>
      <c r="AB1223" s="2085"/>
      <c r="AC1223" s="2085"/>
      <c r="AD1223" s="2085"/>
      <c r="AE1223" s="2089"/>
    </row>
    <row r="1224" spans="1:31" ht="27">
      <c r="A1224" s="403">
        <v>872</v>
      </c>
      <c r="B1224" s="403">
        <v>3</v>
      </c>
      <c r="C1224" s="403" t="s">
        <v>2247</v>
      </c>
      <c r="D1224" s="729" t="s">
        <v>1698</v>
      </c>
      <c r="E1224" s="403" t="s">
        <v>47</v>
      </c>
      <c r="F1224" s="1063">
        <v>30</v>
      </c>
      <c r="G1224" s="1077">
        <v>4700000</v>
      </c>
      <c r="H1224" s="1078">
        <f t="shared" si="184"/>
        <v>141000000</v>
      </c>
      <c r="I1224" s="691">
        <v>30</v>
      </c>
      <c r="J1224" s="692">
        <v>4900000</v>
      </c>
      <c r="K1224" s="692">
        <f t="shared" si="180"/>
        <v>147000000</v>
      </c>
      <c r="L1224" s="692">
        <f t="shared" si="181"/>
        <v>200000</v>
      </c>
      <c r="M1224" s="403" t="s">
        <v>2241</v>
      </c>
      <c r="N1224" s="403" t="s">
        <v>2248</v>
      </c>
      <c r="O1224" s="403" t="s">
        <v>2243</v>
      </c>
      <c r="P1224" s="403" t="s">
        <v>2244</v>
      </c>
      <c r="Q1224" s="2084">
        <f t="shared" si="185"/>
        <v>1</v>
      </c>
      <c r="R1224" s="2332">
        <f t="shared" si="186"/>
        <v>30</v>
      </c>
      <c r="S1224" s="2086"/>
      <c r="T1224" s="2086"/>
      <c r="U1224" s="2086"/>
      <c r="V1224" s="2086"/>
      <c r="W1224" s="2087"/>
      <c r="X1224" s="2088"/>
      <c r="Y1224" s="2089"/>
      <c r="Z1224" s="2085"/>
      <c r="AA1224" s="2085"/>
      <c r="AB1224" s="2085"/>
      <c r="AC1224" s="2085"/>
      <c r="AD1224" s="2085"/>
      <c r="AE1224" s="2089"/>
    </row>
    <row r="1225" spans="1:31" ht="27">
      <c r="A1225" s="403">
        <v>873</v>
      </c>
      <c r="B1225" s="403">
        <v>4</v>
      </c>
      <c r="C1225" s="403" t="s">
        <v>2249</v>
      </c>
      <c r="D1225" s="729" t="s">
        <v>1698</v>
      </c>
      <c r="E1225" s="403" t="s">
        <v>47</v>
      </c>
      <c r="F1225" s="1063">
        <v>20</v>
      </c>
      <c r="G1225" s="1077">
        <v>5200000</v>
      </c>
      <c r="H1225" s="1078">
        <f t="shared" si="184"/>
        <v>104000000</v>
      </c>
      <c r="I1225" s="691">
        <v>20</v>
      </c>
      <c r="J1225" s="692">
        <v>5500000</v>
      </c>
      <c r="K1225" s="692">
        <f t="shared" si="180"/>
        <v>110000000</v>
      </c>
      <c r="L1225" s="692">
        <f t="shared" si="181"/>
        <v>300000</v>
      </c>
      <c r="M1225" s="403" t="s">
        <v>2241</v>
      </c>
      <c r="N1225" s="403" t="s">
        <v>2250</v>
      </c>
      <c r="O1225" s="403" t="s">
        <v>2243</v>
      </c>
      <c r="P1225" s="403" t="s">
        <v>2244</v>
      </c>
      <c r="Q1225" s="2084">
        <f t="shared" si="185"/>
        <v>1</v>
      </c>
      <c r="R1225" s="2332">
        <f t="shared" si="186"/>
        <v>20</v>
      </c>
      <c r="S1225" s="2086"/>
      <c r="T1225" s="2086"/>
      <c r="U1225" s="2086"/>
      <c r="V1225" s="2086"/>
      <c r="W1225" s="2087"/>
      <c r="X1225" s="2088"/>
      <c r="Y1225" s="2089"/>
      <c r="Z1225" s="2085"/>
      <c r="AA1225" s="2085"/>
      <c r="AB1225" s="2085"/>
      <c r="AC1225" s="2085"/>
      <c r="AD1225" s="2085"/>
      <c r="AE1225" s="2089"/>
    </row>
    <row r="1226" spans="1:31" s="159" customFormat="1" ht="27">
      <c r="A1226" s="628">
        <v>874</v>
      </c>
      <c r="B1226" s="628">
        <v>5</v>
      </c>
      <c r="C1226" s="628" t="s">
        <v>2251</v>
      </c>
      <c r="D1226" s="1079" t="s">
        <v>1698</v>
      </c>
      <c r="E1226" s="628" t="s">
        <v>47</v>
      </c>
      <c r="F1226" s="628">
        <v>20</v>
      </c>
      <c r="G1226" s="1079">
        <v>5900000</v>
      </c>
      <c r="H1226" s="1080">
        <f t="shared" si="184"/>
        <v>118000000</v>
      </c>
      <c r="I1226" s="1081">
        <v>20</v>
      </c>
      <c r="J1226" s="1079">
        <v>5900000</v>
      </c>
      <c r="K1226" s="1079">
        <f t="shared" si="180"/>
        <v>118000000</v>
      </c>
      <c r="L1226" s="1079">
        <f t="shared" si="181"/>
        <v>0</v>
      </c>
      <c r="M1226" s="403" t="s">
        <v>2241</v>
      </c>
      <c r="N1226" s="403" t="s">
        <v>2252</v>
      </c>
      <c r="O1226" s="403" t="s">
        <v>2243</v>
      </c>
      <c r="P1226" s="628" t="s">
        <v>2244</v>
      </c>
      <c r="Q1226" s="2084">
        <f t="shared" si="185"/>
        <v>1</v>
      </c>
      <c r="R1226" s="2332">
        <f t="shared" si="186"/>
        <v>20</v>
      </c>
      <c r="S1226" s="2086"/>
      <c r="T1226" s="2086"/>
      <c r="U1226" s="2086"/>
      <c r="V1226" s="2086"/>
      <c r="W1226" s="2087"/>
      <c r="X1226" s="2088"/>
      <c r="Y1226" s="2089"/>
      <c r="Z1226" s="2085"/>
      <c r="AA1226" s="2085"/>
      <c r="AB1226" s="2085"/>
      <c r="AC1226" s="2085"/>
      <c r="AD1226" s="2085"/>
      <c r="AE1226" s="2089"/>
    </row>
    <row r="1227" spans="1:31" ht="27">
      <c r="A1227" s="403">
        <v>875</v>
      </c>
      <c r="B1227" s="403">
        <v>6</v>
      </c>
      <c r="C1227" s="403" t="s">
        <v>2253</v>
      </c>
      <c r="D1227" s="729" t="s">
        <v>1698</v>
      </c>
      <c r="E1227" s="403" t="s">
        <v>47</v>
      </c>
      <c r="F1227" s="1063">
        <v>20</v>
      </c>
      <c r="G1227" s="1077">
        <v>5600000</v>
      </c>
      <c r="H1227" s="1078">
        <f t="shared" si="184"/>
        <v>112000000</v>
      </c>
      <c r="I1227" s="691">
        <v>20</v>
      </c>
      <c r="J1227" s="692">
        <v>6500000</v>
      </c>
      <c r="K1227" s="692">
        <f t="shared" si="180"/>
        <v>130000000</v>
      </c>
      <c r="L1227" s="692">
        <f t="shared" si="181"/>
        <v>900000</v>
      </c>
      <c r="M1227" s="403" t="s">
        <v>2241</v>
      </c>
      <c r="N1227" s="403" t="s">
        <v>2254</v>
      </c>
      <c r="O1227" s="403" t="s">
        <v>2243</v>
      </c>
      <c r="P1227" s="403" t="s">
        <v>2244</v>
      </c>
      <c r="Q1227" s="2084">
        <f t="shared" si="185"/>
        <v>1</v>
      </c>
      <c r="R1227" s="2332">
        <f t="shared" si="186"/>
        <v>20</v>
      </c>
      <c r="S1227" s="2086"/>
      <c r="T1227" s="2086"/>
      <c r="U1227" s="2086"/>
      <c r="V1227" s="2086"/>
      <c r="W1227" s="2087"/>
      <c r="X1227" s="2088"/>
      <c r="Y1227" s="2089"/>
      <c r="Z1227" s="2085"/>
      <c r="AA1227" s="2085"/>
      <c r="AB1227" s="2085"/>
      <c r="AC1227" s="2085"/>
      <c r="AD1227" s="2085"/>
      <c r="AE1227" s="2089"/>
    </row>
    <row r="1228" spans="1:31" ht="27">
      <c r="A1228" s="403">
        <v>876</v>
      </c>
      <c r="B1228" s="403">
        <v>7</v>
      </c>
      <c r="C1228" s="403" t="s">
        <v>2255</v>
      </c>
      <c r="D1228" s="729" t="s">
        <v>1698</v>
      </c>
      <c r="E1228" s="403" t="s">
        <v>47</v>
      </c>
      <c r="F1228" s="1063">
        <v>20</v>
      </c>
      <c r="G1228" s="1077">
        <v>7100000</v>
      </c>
      <c r="H1228" s="1078">
        <f t="shared" si="184"/>
        <v>142000000</v>
      </c>
      <c r="I1228" s="691">
        <v>20</v>
      </c>
      <c r="J1228" s="692">
        <v>7500000</v>
      </c>
      <c r="K1228" s="692">
        <f t="shared" si="180"/>
        <v>150000000</v>
      </c>
      <c r="L1228" s="692">
        <f t="shared" si="181"/>
        <v>400000</v>
      </c>
      <c r="M1228" s="403" t="s">
        <v>2241</v>
      </c>
      <c r="N1228" s="403" t="s">
        <v>2256</v>
      </c>
      <c r="O1228" s="403" t="s">
        <v>2243</v>
      </c>
      <c r="P1228" s="403" t="s">
        <v>2244</v>
      </c>
      <c r="Q1228" s="2084">
        <f t="shared" si="185"/>
        <v>1</v>
      </c>
      <c r="R1228" s="2332">
        <f t="shared" si="186"/>
        <v>20</v>
      </c>
      <c r="S1228" s="2086"/>
      <c r="T1228" s="2086"/>
      <c r="U1228" s="2086"/>
      <c r="V1228" s="2086"/>
      <c r="W1228" s="2087"/>
      <c r="X1228" s="2088"/>
      <c r="Y1228" s="2089"/>
      <c r="Z1228" s="2085"/>
      <c r="AA1228" s="2085"/>
      <c r="AB1228" s="2085"/>
      <c r="AC1228" s="2085"/>
      <c r="AD1228" s="2085"/>
      <c r="AE1228" s="2089"/>
    </row>
    <row r="1229" spans="1:31" ht="27">
      <c r="A1229" s="403">
        <v>877</v>
      </c>
      <c r="B1229" s="403">
        <v>8</v>
      </c>
      <c r="C1229" s="403" t="s">
        <v>2257</v>
      </c>
      <c r="D1229" s="729" t="s">
        <v>1698</v>
      </c>
      <c r="E1229" s="403" t="s">
        <v>47</v>
      </c>
      <c r="F1229" s="1063">
        <v>150</v>
      </c>
      <c r="G1229" s="1077">
        <v>1500000</v>
      </c>
      <c r="H1229" s="1078">
        <f t="shared" si="184"/>
        <v>225000000</v>
      </c>
      <c r="I1229" s="691">
        <v>150</v>
      </c>
      <c r="J1229" s="692">
        <v>1600000</v>
      </c>
      <c r="K1229" s="692">
        <f t="shared" si="180"/>
        <v>240000000</v>
      </c>
      <c r="L1229" s="692">
        <f t="shared" si="181"/>
        <v>100000</v>
      </c>
      <c r="M1229" s="403" t="s">
        <v>2241</v>
      </c>
      <c r="N1229" s="403" t="s">
        <v>2258</v>
      </c>
      <c r="O1229" s="403" t="s">
        <v>2243</v>
      </c>
      <c r="P1229" s="403" t="s">
        <v>2244</v>
      </c>
      <c r="Q1229" s="2084">
        <f t="shared" si="185"/>
        <v>1</v>
      </c>
      <c r="R1229" s="2332">
        <f t="shared" si="186"/>
        <v>150</v>
      </c>
      <c r="S1229" s="2086"/>
      <c r="T1229" s="2086"/>
      <c r="U1229" s="2086"/>
      <c r="V1229" s="2086"/>
      <c r="W1229" s="2087"/>
      <c r="X1229" s="2088"/>
      <c r="Y1229" s="2089"/>
      <c r="Z1229" s="2085"/>
      <c r="AA1229" s="2085"/>
      <c r="AB1229" s="2085"/>
      <c r="AC1229" s="2085"/>
      <c r="AD1229" s="2085"/>
      <c r="AE1229" s="2089"/>
    </row>
    <row r="1230" spans="1:31" ht="27">
      <c r="A1230" s="403">
        <v>878</v>
      </c>
      <c r="B1230" s="403">
        <v>9</v>
      </c>
      <c r="C1230" s="403" t="s">
        <v>2259</v>
      </c>
      <c r="D1230" s="729" t="s">
        <v>1698</v>
      </c>
      <c r="E1230" s="403" t="s">
        <v>47</v>
      </c>
      <c r="F1230" s="1063">
        <v>1</v>
      </c>
      <c r="G1230" s="1077">
        <v>9200000</v>
      </c>
      <c r="H1230" s="1078">
        <f t="shared" si="184"/>
        <v>9200000</v>
      </c>
      <c r="I1230" s="691">
        <v>1</v>
      </c>
      <c r="J1230" s="692">
        <v>9650000</v>
      </c>
      <c r="K1230" s="692">
        <f t="shared" si="180"/>
        <v>9650000</v>
      </c>
      <c r="L1230" s="692">
        <f t="shared" si="181"/>
        <v>450000</v>
      </c>
      <c r="M1230" s="403" t="s">
        <v>2241</v>
      </c>
      <c r="N1230" s="403" t="s">
        <v>2260</v>
      </c>
      <c r="O1230" s="403" t="s">
        <v>2243</v>
      </c>
      <c r="P1230" s="403" t="s">
        <v>2244</v>
      </c>
      <c r="Q1230" s="2084">
        <f t="shared" si="185"/>
        <v>1</v>
      </c>
      <c r="R1230" s="2332">
        <f t="shared" si="186"/>
        <v>1</v>
      </c>
      <c r="S1230" s="2086"/>
      <c r="T1230" s="2086"/>
      <c r="U1230" s="2086"/>
      <c r="V1230" s="2086"/>
      <c r="W1230" s="2087"/>
      <c r="X1230" s="2088"/>
      <c r="Y1230" s="2089"/>
      <c r="Z1230" s="2085"/>
      <c r="AA1230" s="2085"/>
      <c r="AB1230" s="2085"/>
      <c r="AC1230" s="2085"/>
      <c r="AD1230" s="2085"/>
      <c r="AE1230" s="2089"/>
    </row>
    <row r="1231" spans="1:31" ht="27">
      <c r="A1231" s="403">
        <v>879</v>
      </c>
      <c r="B1231" s="403">
        <v>10</v>
      </c>
      <c r="C1231" s="403" t="s">
        <v>2261</v>
      </c>
      <c r="D1231" s="729" t="s">
        <v>1698</v>
      </c>
      <c r="E1231" s="403" t="s">
        <v>47</v>
      </c>
      <c r="F1231" s="1063">
        <v>30</v>
      </c>
      <c r="G1231" s="1077">
        <v>3000000</v>
      </c>
      <c r="H1231" s="1078">
        <f t="shared" si="184"/>
        <v>90000000</v>
      </c>
      <c r="I1231" s="691">
        <v>30</v>
      </c>
      <c r="J1231" s="692">
        <v>3200000</v>
      </c>
      <c r="K1231" s="692">
        <f t="shared" si="180"/>
        <v>96000000</v>
      </c>
      <c r="L1231" s="692">
        <f t="shared" si="181"/>
        <v>200000</v>
      </c>
      <c r="M1231" s="403" t="s">
        <v>2241</v>
      </c>
      <c r="N1231" s="403" t="s">
        <v>2262</v>
      </c>
      <c r="O1231" s="403" t="s">
        <v>2243</v>
      </c>
      <c r="P1231" s="403" t="s">
        <v>2244</v>
      </c>
      <c r="Q1231" s="2084">
        <f t="shared" si="185"/>
        <v>1</v>
      </c>
      <c r="R1231" s="2332">
        <f t="shared" si="186"/>
        <v>30</v>
      </c>
      <c r="S1231" s="2086"/>
      <c r="T1231" s="2086"/>
      <c r="U1231" s="2086"/>
      <c r="V1231" s="2086"/>
      <c r="W1231" s="2087"/>
      <c r="X1231" s="2088"/>
      <c r="Y1231" s="2089"/>
      <c r="Z1231" s="2085"/>
      <c r="AA1231" s="2085"/>
      <c r="AB1231" s="2085"/>
      <c r="AC1231" s="2085"/>
      <c r="AD1231" s="2085"/>
      <c r="AE1231" s="2089"/>
    </row>
    <row r="1232" spans="1:31" s="73" customFormat="1" ht="15">
      <c r="A1232" s="403">
        <v>880</v>
      </c>
      <c r="B1232" s="403">
        <v>11</v>
      </c>
      <c r="C1232" s="403" t="s">
        <v>2263</v>
      </c>
      <c r="D1232" s="729" t="s">
        <v>1698</v>
      </c>
      <c r="E1232" s="403" t="s">
        <v>47</v>
      </c>
      <c r="F1232" s="1063">
        <v>20</v>
      </c>
      <c r="G1232" s="1077">
        <v>1900000</v>
      </c>
      <c r="H1232" s="1078">
        <f t="shared" si="184"/>
        <v>38000000</v>
      </c>
      <c r="I1232" s="691">
        <v>20</v>
      </c>
      <c r="J1232" s="692">
        <v>1950000</v>
      </c>
      <c r="K1232" s="692">
        <f t="shared" si="180"/>
        <v>39000000</v>
      </c>
      <c r="L1232" s="692">
        <f t="shared" si="181"/>
        <v>50000</v>
      </c>
      <c r="M1232" s="403" t="s">
        <v>2264</v>
      </c>
      <c r="N1232" s="403" t="s">
        <v>2265</v>
      </c>
      <c r="O1232" s="403" t="s">
        <v>2243</v>
      </c>
      <c r="P1232" s="403" t="s">
        <v>2244</v>
      </c>
      <c r="Q1232" s="2084">
        <f t="shared" si="185"/>
        <v>1</v>
      </c>
      <c r="R1232" s="2332">
        <f t="shared" si="186"/>
        <v>20</v>
      </c>
      <c r="S1232" s="2086"/>
      <c r="T1232" s="2086"/>
      <c r="U1232" s="2086"/>
      <c r="V1232" s="2086"/>
      <c r="W1232" s="2087"/>
      <c r="X1232" s="2088"/>
      <c r="Y1232" s="2089"/>
      <c r="Z1232" s="2085"/>
      <c r="AA1232" s="2085"/>
      <c r="AB1232" s="2085"/>
      <c r="AC1232" s="2085"/>
      <c r="AD1232" s="2085"/>
      <c r="AE1232" s="2089"/>
    </row>
    <row r="1233" spans="1:31" s="73" customFormat="1" ht="27">
      <c r="A1233" s="403">
        <v>881</v>
      </c>
      <c r="B1233" s="403">
        <v>12</v>
      </c>
      <c r="C1233" s="403" t="s">
        <v>2266</v>
      </c>
      <c r="D1233" s="729" t="s">
        <v>1698</v>
      </c>
      <c r="E1233" s="403" t="s">
        <v>47</v>
      </c>
      <c r="F1233" s="1063">
        <v>5</v>
      </c>
      <c r="G1233" s="1077">
        <v>10500000</v>
      </c>
      <c r="H1233" s="1078">
        <f t="shared" si="184"/>
        <v>52500000</v>
      </c>
      <c r="I1233" s="691">
        <v>5</v>
      </c>
      <c r="J1233" s="692">
        <v>11000000</v>
      </c>
      <c r="K1233" s="692">
        <f t="shared" si="180"/>
        <v>55000000</v>
      </c>
      <c r="L1233" s="692">
        <f t="shared" si="181"/>
        <v>500000</v>
      </c>
      <c r="M1233" s="403" t="s">
        <v>2241</v>
      </c>
      <c r="N1233" s="403" t="s">
        <v>2267</v>
      </c>
      <c r="O1233" s="403" t="s">
        <v>2243</v>
      </c>
      <c r="P1233" s="403" t="s">
        <v>2244</v>
      </c>
      <c r="Q1233" s="2084">
        <f t="shared" si="185"/>
        <v>1</v>
      </c>
      <c r="R1233" s="2332">
        <f t="shared" si="186"/>
        <v>5</v>
      </c>
      <c r="S1233" s="2086"/>
      <c r="T1233" s="2086"/>
      <c r="U1233" s="2086"/>
      <c r="V1233" s="2086"/>
      <c r="W1233" s="2087"/>
      <c r="X1233" s="2088"/>
      <c r="Y1233" s="2089"/>
      <c r="Z1233" s="2085"/>
      <c r="AA1233" s="2085"/>
      <c r="AB1233" s="2085"/>
      <c r="AC1233" s="2085"/>
      <c r="AD1233" s="2085"/>
      <c r="AE1233" s="2089"/>
    </row>
    <row r="1234" spans="1:31" s="73" customFormat="1" ht="27">
      <c r="A1234" s="403">
        <v>882</v>
      </c>
      <c r="B1234" s="403">
        <v>13</v>
      </c>
      <c r="C1234" s="403" t="s">
        <v>2268</v>
      </c>
      <c r="D1234" s="729" t="s">
        <v>1698</v>
      </c>
      <c r="E1234" s="403" t="s">
        <v>47</v>
      </c>
      <c r="F1234" s="1063">
        <v>5</v>
      </c>
      <c r="G1234" s="1077">
        <v>10500000</v>
      </c>
      <c r="H1234" s="1078">
        <f t="shared" si="184"/>
        <v>52500000</v>
      </c>
      <c r="I1234" s="691">
        <v>5</v>
      </c>
      <c r="J1234" s="692">
        <v>11000000</v>
      </c>
      <c r="K1234" s="692">
        <f t="shared" si="180"/>
        <v>55000000</v>
      </c>
      <c r="L1234" s="692">
        <f t="shared" si="181"/>
        <v>500000</v>
      </c>
      <c r="M1234" s="403" t="s">
        <v>2241</v>
      </c>
      <c r="N1234" s="403" t="s">
        <v>2269</v>
      </c>
      <c r="O1234" s="403" t="s">
        <v>2243</v>
      </c>
      <c r="P1234" s="403" t="s">
        <v>2244</v>
      </c>
      <c r="Q1234" s="2084">
        <f t="shared" si="185"/>
        <v>1</v>
      </c>
      <c r="R1234" s="2332">
        <f t="shared" si="186"/>
        <v>5</v>
      </c>
      <c r="S1234" s="2086"/>
      <c r="T1234" s="2086"/>
      <c r="U1234" s="2086"/>
      <c r="V1234" s="2086"/>
      <c r="W1234" s="2087"/>
      <c r="X1234" s="2088"/>
      <c r="Y1234" s="2089"/>
      <c r="Z1234" s="2085"/>
      <c r="AA1234" s="2085"/>
      <c r="AB1234" s="2085"/>
      <c r="AC1234" s="2085"/>
      <c r="AD1234" s="2085"/>
      <c r="AE1234" s="2089"/>
    </row>
    <row r="1235" spans="1:31" s="73" customFormat="1" ht="27">
      <c r="A1235" s="403">
        <v>883</v>
      </c>
      <c r="B1235" s="403">
        <v>14</v>
      </c>
      <c r="C1235" s="403" t="s">
        <v>2270</v>
      </c>
      <c r="D1235" s="729" t="s">
        <v>1698</v>
      </c>
      <c r="E1235" s="403" t="s">
        <v>47</v>
      </c>
      <c r="F1235" s="1063">
        <v>10</v>
      </c>
      <c r="G1235" s="1077">
        <v>7100000</v>
      </c>
      <c r="H1235" s="1078">
        <f t="shared" si="184"/>
        <v>71000000</v>
      </c>
      <c r="I1235" s="691">
        <v>10</v>
      </c>
      <c r="J1235" s="692">
        <v>7500000</v>
      </c>
      <c r="K1235" s="692">
        <f t="shared" si="180"/>
        <v>75000000</v>
      </c>
      <c r="L1235" s="692">
        <f t="shared" si="181"/>
        <v>400000</v>
      </c>
      <c r="M1235" s="403" t="s">
        <v>2241</v>
      </c>
      <c r="N1235" s="403" t="s">
        <v>2271</v>
      </c>
      <c r="O1235" s="403" t="s">
        <v>2243</v>
      </c>
      <c r="P1235" s="403" t="s">
        <v>2244</v>
      </c>
      <c r="Q1235" s="2084">
        <f t="shared" si="185"/>
        <v>1</v>
      </c>
      <c r="R1235" s="2332">
        <f t="shared" si="186"/>
        <v>10</v>
      </c>
      <c r="S1235" s="2086"/>
      <c r="T1235" s="2086"/>
      <c r="U1235" s="2086"/>
      <c r="V1235" s="2086"/>
      <c r="W1235" s="2087"/>
      <c r="X1235" s="2088"/>
      <c r="Y1235" s="2089"/>
      <c r="Z1235" s="2085"/>
      <c r="AA1235" s="2085"/>
      <c r="AB1235" s="2085"/>
      <c r="AC1235" s="2085"/>
      <c r="AD1235" s="2085"/>
      <c r="AE1235" s="2089"/>
    </row>
    <row r="1236" spans="1:31" s="73" customFormat="1" ht="27">
      <c r="A1236" s="403">
        <v>884</v>
      </c>
      <c r="B1236" s="403">
        <v>15</v>
      </c>
      <c r="C1236" s="403" t="s">
        <v>2272</v>
      </c>
      <c r="D1236" s="729" t="s">
        <v>1698</v>
      </c>
      <c r="E1236" s="403" t="s">
        <v>47</v>
      </c>
      <c r="F1236" s="1063">
        <v>2</v>
      </c>
      <c r="G1236" s="1077">
        <v>9100000</v>
      </c>
      <c r="H1236" s="1078">
        <f t="shared" si="184"/>
        <v>18200000</v>
      </c>
      <c r="I1236" s="691">
        <v>2</v>
      </c>
      <c r="J1236" s="692">
        <v>9600000</v>
      </c>
      <c r="K1236" s="692">
        <f t="shared" si="180"/>
        <v>19200000</v>
      </c>
      <c r="L1236" s="692">
        <f t="shared" si="181"/>
        <v>500000</v>
      </c>
      <c r="M1236" s="403" t="s">
        <v>2241</v>
      </c>
      <c r="N1236" s="403" t="s">
        <v>2273</v>
      </c>
      <c r="O1236" s="403" t="s">
        <v>2243</v>
      </c>
      <c r="P1236" s="403" t="s">
        <v>2244</v>
      </c>
      <c r="Q1236" s="2084">
        <f t="shared" si="185"/>
        <v>1</v>
      </c>
      <c r="R1236" s="2332">
        <f t="shared" si="186"/>
        <v>2</v>
      </c>
      <c r="S1236" s="2086"/>
      <c r="T1236" s="2086"/>
      <c r="U1236" s="2086"/>
      <c r="V1236" s="2086"/>
      <c r="W1236" s="2087"/>
      <c r="X1236" s="2088"/>
      <c r="Y1236" s="2089"/>
      <c r="Z1236" s="2085"/>
      <c r="AA1236" s="2085"/>
      <c r="AB1236" s="2085"/>
      <c r="AC1236" s="2085"/>
      <c r="AD1236" s="2085"/>
      <c r="AE1236" s="2089"/>
    </row>
    <row r="1237" spans="1:31" s="73" customFormat="1" ht="27">
      <c r="A1237" s="403">
        <v>885</v>
      </c>
      <c r="B1237" s="403">
        <v>16</v>
      </c>
      <c r="C1237" s="403" t="s">
        <v>2274</v>
      </c>
      <c r="D1237" s="729" t="s">
        <v>1698</v>
      </c>
      <c r="E1237" s="403" t="s">
        <v>47</v>
      </c>
      <c r="F1237" s="1063">
        <v>2</v>
      </c>
      <c r="G1237" s="1077">
        <v>11200000</v>
      </c>
      <c r="H1237" s="1078">
        <f t="shared" si="184"/>
        <v>22400000</v>
      </c>
      <c r="I1237" s="691">
        <v>2</v>
      </c>
      <c r="J1237" s="692">
        <v>11800000</v>
      </c>
      <c r="K1237" s="692">
        <f t="shared" si="180"/>
        <v>23600000</v>
      </c>
      <c r="L1237" s="692">
        <f t="shared" si="181"/>
        <v>600000</v>
      </c>
      <c r="M1237" s="403" t="s">
        <v>2241</v>
      </c>
      <c r="N1237" s="403" t="s">
        <v>2275</v>
      </c>
      <c r="O1237" s="403" t="s">
        <v>2243</v>
      </c>
      <c r="P1237" s="403" t="s">
        <v>2244</v>
      </c>
      <c r="Q1237" s="2084">
        <f t="shared" si="185"/>
        <v>1</v>
      </c>
      <c r="R1237" s="2332">
        <f t="shared" si="186"/>
        <v>2</v>
      </c>
      <c r="S1237" s="2086"/>
      <c r="T1237" s="2086"/>
      <c r="U1237" s="2086"/>
      <c r="V1237" s="2086"/>
      <c r="W1237" s="2087"/>
      <c r="X1237" s="2088"/>
      <c r="Y1237" s="2089"/>
      <c r="Z1237" s="2085"/>
      <c r="AA1237" s="2085"/>
      <c r="AB1237" s="2085"/>
      <c r="AC1237" s="2085"/>
      <c r="AD1237" s="2085"/>
      <c r="AE1237" s="2089"/>
    </row>
    <row r="1238" spans="1:31" s="73" customFormat="1" ht="27">
      <c r="A1238" s="403">
        <v>886</v>
      </c>
      <c r="B1238" s="403">
        <v>17</v>
      </c>
      <c r="C1238" s="403" t="s">
        <v>2276</v>
      </c>
      <c r="D1238" s="403" t="s">
        <v>1698</v>
      </c>
      <c r="E1238" s="403" t="s">
        <v>47</v>
      </c>
      <c r="F1238" s="1063">
        <v>20</v>
      </c>
      <c r="G1238" s="1077">
        <v>1700000</v>
      </c>
      <c r="H1238" s="1078">
        <f t="shared" si="184"/>
        <v>34000000</v>
      </c>
      <c r="I1238" s="691">
        <v>20</v>
      </c>
      <c r="J1238" s="692">
        <v>1750000</v>
      </c>
      <c r="K1238" s="692">
        <f t="shared" si="180"/>
        <v>35000000</v>
      </c>
      <c r="L1238" s="692">
        <f t="shared" si="181"/>
        <v>50000</v>
      </c>
      <c r="M1238" s="403" t="s">
        <v>2241</v>
      </c>
      <c r="N1238" s="403" t="s">
        <v>2277</v>
      </c>
      <c r="O1238" s="403" t="s">
        <v>2243</v>
      </c>
      <c r="P1238" s="403" t="s">
        <v>2244</v>
      </c>
      <c r="Q1238" s="2084">
        <f t="shared" si="185"/>
        <v>1</v>
      </c>
      <c r="R1238" s="2332">
        <f t="shared" si="186"/>
        <v>20</v>
      </c>
      <c r="S1238" s="2086"/>
      <c r="T1238" s="2086"/>
      <c r="U1238" s="2086"/>
      <c r="V1238" s="2086"/>
      <c r="W1238" s="2087"/>
      <c r="X1238" s="2088"/>
      <c r="Y1238" s="2089"/>
      <c r="Z1238" s="2085"/>
      <c r="AA1238" s="2085"/>
      <c r="AB1238" s="2085"/>
      <c r="AC1238" s="2085"/>
      <c r="AD1238" s="2085"/>
      <c r="AE1238" s="2089"/>
    </row>
    <row r="1239" spans="1:31" s="73" customFormat="1" ht="27">
      <c r="A1239" s="403">
        <v>887</v>
      </c>
      <c r="B1239" s="403">
        <v>18</v>
      </c>
      <c r="C1239" s="403" t="s">
        <v>2278</v>
      </c>
      <c r="D1239" s="403" t="s">
        <v>1698</v>
      </c>
      <c r="E1239" s="403" t="s">
        <v>47</v>
      </c>
      <c r="F1239" s="1063">
        <v>20</v>
      </c>
      <c r="G1239" s="1077">
        <v>1700000</v>
      </c>
      <c r="H1239" s="1078">
        <f t="shared" si="184"/>
        <v>34000000</v>
      </c>
      <c r="I1239" s="691">
        <v>20</v>
      </c>
      <c r="J1239" s="692">
        <v>1750000</v>
      </c>
      <c r="K1239" s="692">
        <f t="shared" si="180"/>
        <v>35000000</v>
      </c>
      <c r="L1239" s="692">
        <f t="shared" si="181"/>
        <v>50000</v>
      </c>
      <c r="M1239" s="403" t="s">
        <v>2241</v>
      </c>
      <c r="N1239" s="403" t="s">
        <v>2279</v>
      </c>
      <c r="O1239" s="403" t="s">
        <v>2243</v>
      </c>
      <c r="P1239" s="403" t="s">
        <v>2244</v>
      </c>
      <c r="Q1239" s="2084">
        <f t="shared" si="185"/>
        <v>1</v>
      </c>
      <c r="R1239" s="2332">
        <f t="shared" si="186"/>
        <v>20</v>
      </c>
      <c r="S1239" s="2086"/>
      <c r="T1239" s="2086"/>
      <c r="U1239" s="2086"/>
      <c r="V1239" s="2086"/>
      <c r="W1239" s="2087"/>
      <c r="X1239" s="2088"/>
      <c r="Y1239" s="2089"/>
      <c r="Z1239" s="2085"/>
      <c r="AA1239" s="2085"/>
      <c r="AB1239" s="2085"/>
      <c r="AC1239" s="2085"/>
      <c r="AD1239" s="2085"/>
      <c r="AE1239" s="2089"/>
    </row>
    <row r="1240" spans="1:31" s="73" customFormat="1" ht="27">
      <c r="A1240" s="403">
        <v>888</v>
      </c>
      <c r="B1240" s="403">
        <v>19</v>
      </c>
      <c r="C1240" s="403" t="s">
        <v>2280</v>
      </c>
      <c r="D1240" s="403" t="s">
        <v>1698</v>
      </c>
      <c r="E1240" s="403" t="s">
        <v>47</v>
      </c>
      <c r="F1240" s="1063">
        <v>15</v>
      </c>
      <c r="G1240" s="1077">
        <v>9500000</v>
      </c>
      <c r="H1240" s="1078">
        <f t="shared" si="184"/>
        <v>142500000</v>
      </c>
      <c r="I1240" s="691">
        <v>15</v>
      </c>
      <c r="J1240" s="692">
        <v>10000000</v>
      </c>
      <c r="K1240" s="692">
        <f t="shared" si="180"/>
        <v>150000000</v>
      </c>
      <c r="L1240" s="692">
        <f t="shared" si="181"/>
        <v>500000</v>
      </c>
      <c r="M1240" s="403" t="s">
        <v>2241</v>
      </c>
      <c r="N1240" s="403" t="s">
        <v>2281</v>
      </c>
      <c r="O1240" s="403" t="s">
        <v>2243</v>
      </c>
      <c r="P1240" s="403" t="s">
        <v>2244</v>
      </c>
      <c r="Q1240" s="2084">
        <f t="shared" si="185"/>
        <v>1</v>
      </c>
      <c r="R1240" s="2332">
        <f t="shared" si="186"/>
        <v>15</v>
      </c>
      <c r="S1240" s="2086"/>
      <c r="T1240" s="2086"/>
      <c r="U1240" s="2086"/>
      <c r="V1240" s="2086"/>
      <c r="W1240" s="2087"/>
      <c r="X1240" s="2088"/>
      <c r="Y1240" s="2089"/>
      <c r="Z1240" s="2085"/>
      <c r="AA1240" s="2085"/>
      <c r="AB1240" s="2085"/>
      <c r="AC1240" s="2085"/>
      <c r="AD1240" s="2085"/>
      <c r="AE1240" s="2089"/>
    </row>
    <row r="1241" spans="1:31" s="73" customFormat="1" ht="27">
      <c r="A1241" s="403">
        <v>889</v>
      </c>
      <c r="B1241" s="403">
        <v>20</v>
      </c>
      <c r="C1241" s="403" t="s">
        <v>2282</v>
      </c>
      <c r="D1241" s="403" t="s">
        <v>1698</v>
      </c>
      <c r="E1241" s="403" t="s">
        <v>47</v>
      </c>
      <c r="F1241" s="1063">
        <v>10</v>
      </c>
      <c r="G1241" s="1077">
        <v>10500000</v>
      </c>
      <c r="H1241" s="1078">
        <f t="shared" si="184"/>
        <v>105000000</v>
      </c>
      <c r="I1241" s="691">
        <v>10</v>
      </c>
      <c r="J1241" s="692">
        <v>11000000</v>
      </c>
      <c r="K1241" s="692">
        <f t="shared" si="180"/>
        <v>110000000</v>
      </c>
      <c r="L1241" s="692">
        <f t="shared" si="181"/>
        <v>500000</v>
      </c>
      <c r="M1241" s="403" t="s">
        <v>2241</v>
      </c>
      <c r="N1241" s="403" t="s">
        <v>2283</v>
      </c>
      <c r="O1241" s="403" t="s">
        <v>2243</v>
      </c>
      <c r="P1241" s="403" t="s">
        <v>2244</v>
      </c>
      <c r="Q1241" s="2084">
        <f t="shared" si="185"/>
        <v>1</v>
      </c>
      <c r="R1241" s="2332">
        <f t="shared" si="186"/>
        <v>10</v>
      </c>
      <c r="S1241" s="2086"/>
      <c r="T1241" s="2086"/>
      <c r="U1241" s="2086"/>
      <c r="V1241" s="2086"/>
      <c r="W1241" s="2087"/>
      <c r="X1241" s="2088"/>
      <c r="Y1241" s="2089"/>
      <c r="Z1241" s="2085"/>
      <c r="AA1241" s="2085"/>
      <c r="AB1241" s="2085"/>
      <c r="AC1241" s="2085"/>
      <c r="AD1241" s="2085"/>
      <c r="AE1241" s="2089"/>
    </row>
    <row r="1242" spans="1:31" s="73" customFormat="1" ht="27">
      <c r="A1242" s="403">
        <v>890</v>
      </c>
      <c r="B1242" s="403">
        <v>21</v>
      </c>
      <c r="C1242" s="403" t="s">
        <v>2284</v>
      </c>
      <c r="D1242" s="403" t="s">
        <v>1698</v>
      </c>
      <c r="E1242" s="403" t="s">
        <v>47</v>
      </c>
      <c r="F1242" s="1063">
        <v>5</v>
      </c>
      <c r="G1242" s="1077">
        <v>9200000</v>
      </c>
      <c r="H1242" s="1078">
        <f t="shared" si="184"/>
        <v>46000000</v>
      </c>
      <c r="I1242" s="691">
        <v>5</v>
      </c>
      <c r="J1242" s="692">
        <v>9650000</v>
      </c>
      <c r="K1242" s="692">
        <f t="shared" si="180"/>
        <v>48250000</v>
      </c>
      <c r="L1242" s="692">
        <f t="shared" si="181"/>
        <v>450000</v>
      </c>
      <c r="M1242" s="403" t="s">
        <v>2241</v>
      </c>
      <c r="N1242" s="403" t="s">
        <v>2285</v>
      </c>
      <c r="O1242" s="403" t="s">
        <v>2243</v>
      </c>
      <c r="P1242" s="403" t="s">
        <v>2244</v>
      </c>
      <c r="Q1242" s="2084">
        <f t="shared" si="185"/>
        <v>1</v>
      </c>
      <c r="R1242" s="2332">
        <f t="shared" si="186"/>
        <v>5</v>
      </c>
      <c r="S1242" s="2086"/>
      <c r="T1242" s="2086"/>
      <c r="U1242" s="2086"/>
      <c r="V1242" s="2086"/>
      <c r="W1242" s="2087"/>
      <c r="X1242" s="2088"/>
      <c r="Y1242" s="2089"/>
      <c r="Z1242" s="2085"/>
      <c r="AA1242" s="2085"/>
      <c r="AB1242" s="2085"/>
      <c r="AC1242" s="2085"/>
      <c r="AD1242" s="2085"/>
      <c r="AE1242" s="2089"/>
    </row>
    <row r="1243" spans="1:31" s="73" customFormat="1" ht="27">
      <c r="A1243" s="403">
        <v>891</v>
      </c>
      <c r="B1243" s="403">
        <v>22</v>
      </c>
      <c r="C1243" s="403" t="s">
        <v>2286</v>
      </c>
      <c r="D1243" s="403" t="s">
        <v>1698</v>
      </c>
      <c r="E1243" s="403" t="s">
        <v>47</v>
      </c>
      <c r="F1243" s="1063">
        <v>5</v>
      </c>
      <c r="G1243" s="1077">
        <v>6100000</v>
      </c>
      <c r="H1243" s="1078">
        <f t="shared" si="184"/>
        <v>30500000</v>
      </c>
      <c r="I1243" s="691">
        <v>5</v>
      </c>
      <c r="J1243" s="692">
        <v>6450000</v>
      </c>
      <c r="K1243" s="692">
        <f t="shared" si="180"/>
        <v>32250000</v>
      </c>
      <c r="L1243" s="692">
        <f t="shared" si="181"/>
        <v>350000</v>
      </c>
      <c r="M1243" s="403" t="s">
        <v>2241</v>
      </c>
      <c r="N1243" s="403" t="s">
        <v>2287</v>
      </c>
      <c r="O1243" s="403" t="s">
        <v>2243</v>
      </c>
      <c r="P1243" s="403" t="s">
        <v>2244</v>
      </c>
      <c r="Q1243" s="2084">
        <f t="shared" si="185"/>
        <v>1</v>
      </c>
      <c r="R1243" s="2332">
        <f t="shared" si="186"/>
        <v>5</v>
      </c>
      <c r="S1243" s="2086"/>
      <c r="T1243" s="2086"/>
      <c r="U1243" s="2086"/>
      <c r="V1243" s="2086"/>
      <c r="W1243" s="2087"/>
      <c r="X1243" s="2088"/>
      <c r="Y1243" s="2089"/>
      <c r="Z1243" s="2085"/>
      <c r="AA1243" s="2085"/>
      <c r="AB1243" s="2085"/>
      <c r="AC1243" s="2085"/>
      <c r="AD1243" s="2085"/>
      <c r="AE1243" s="2089"/>
    </row>
    <row r="1244" spans="1:31" s="73" customFormat="1" ht="27">
      <c r="A1244" s="403">
        <v>892</v>
      </c>
      <c r="B1244" s="403">
        <v>23</v>
      </c>
      <c r="C1244" s="403" t="s">
        <v>2288</v>
      </c>
      <c r="D1244" s="403" t="s">
        <v>1698</v>
      </c>
      <c r="E1244" s="403" t="s">
        <v>47</v>
      </c>
      <c r="F1244" s="1063">
        <v>20</v>
      </c>
      <c r="G1244" s="1077">
        <v>1200000</v>
      </c>
      <c r="H1244" s="1078">
        <f t="shared" si="184"/>
        <v>24000000</v>
      </c>
      <c r="I1244" s="691">
        <v>20</v>
      </c>
      <c r="J1244" s="692">
        <v>1300000</v>
      </c>
      <c r="K1244" s="692">
        <f t="shared" si="180"/>
        <v>26000000</v>
      </c>
      <c r="L1244" s="692">
        <f t="shared" si="181"/>
        <v>100000</v>
      </c>
      <c r="M1244" s="403" t="s">
        <v>2241</v>
      </c>
      <c r="N1244" s="403" t="s">
        <v>2289</v>
      </c>
      <c r="O1244" s="403" t="s">
        <v>2243</v>
      </c>
      <c r="P1244" s="403" t="s">
        <v>2244</v>
      </c>
      <c r="Q1244" s="2084">
        <f t="shared" si="185"/>
        <v>1</v>
      </c>
      <c r="R1244" s="2332">
        <f t="shared" si="186"/>
        <v>20</v>
      </c>
      <c r="S1244" s="2086"/>
      <c r="T1244" s="2086"/>
      <c r="U1244" s="2086"/>
      <c r="V1244" s="2086"/>
      <c r="W1244" s="2087"/>
      <c r="X1244" s="2088"/>
      <c r="Y1244" s="2089"/>
      <c r="Z1244" s="2085"/>
      <c r="AA1244" s="2085"/>
      <c r="AB1244" s="2085"/>
      <c r="AC1244" s="2085"/>
      <c r="AD1244" s="2085"/>
      <c r="AE1244" s="2089"/>
    </row>
    <row r="1245" spans="1:31" s="73" customFormat="1" ht="27">
      <c r="A1245" s="403">
        <v>893</v>
      </c>
      <c r="B1245" s="403">
        <v>24</v>
      </c>
      <c r="C1245" s="403" t="s">
        <v>2290</v>
      </c>
      <c r="D1245" s="403" t="s">
        <v>2291</v>
      </c>
      <c r="E1245" s="403" t="s">
        <v>435</v>
      </c>
      <c r="F1245" s="1063">
        <v>2</v>
      </c>
      <c r="G1245" s="1077">
        <v>6200000</v>
      </c>
      <c r="H1245" s="1078">
        <f t="shared" si="184"/>
        <v>12400000</v>
      </c>
      <c r="I1245" s="691">
        <v>2</v>
      </c>
      <c r="J1245" s="692">
        <v>6500000</v>
      </c>
      <c r="K1245" s="692">
        <f t="shared" si="180"/>
        <v>13000000</v>
      </c>
      <c r="L1245" s="692">
        <f t="shared" si="181"/>
        <v>300000</v>
      </c>
      <c r="M1245" s="403" t="s">
        <v>2241</v>
      </c>
      <c r="N1245" s="403" t="s">
        <v>2292</v>
      </c>
      <c r="O1245" s="403" t="s">
        <v>2243</v>
      </c>
      <c r="P1245" s="403" t="s">
        <v>2244</v>
      </c>
      <c r="Q1245" s="2084">
        <f t="shared" si="185"/>
        <v>1</v>
      </c>
      <c r="R1245" s="2332">
        <f t="shared" si="186"/>
        <v>2</v>
      </c>
      <c r="S1245" s="2086"/>
      <c r="T1245" s="2086"/>
      <c r="U1245" s="2086"/>
      <c r="V1245" s="2086"/>
      <c r="W1245" s="2087"/>
      <c r="X1245" s="2088"/>
      <c r="Y1245" s="2089"/>
      <c r="Z1245" s="2085"/>
      <c r="AA1245" s="2085"/>
      <c r="AB1245" s="2085"/>
      <c r="AC1245" s="2085"/>
      <c r="AD1245" s="2085"/>
      <c r="AE1245" s="2089"/>
    </row>
    <row r="1246" spans="1:31" s="73" customFormat="1" ht="27">
      <c r="A1246" s="403">
        <v>894</v>
      </c>
      <c r="B1246" s="403">
        <v>25</v>
      </c>
      <c r="C1246" s="403" t="s">
        <v>2293</v>
      </c>
      <c r="D1246" s="403" t="s">
        <v>2291</v>
      </c>
      <c r="E1246" s="403" t="s">
        <v>435</v>
      </c>
      <c r="F1246" s="1063">
        <v>2</v>
      </c>
      <c r="G1246" s="1077">
        <v>7600000</v>
      </c>
      <c r="H1246" s="1078">
        <f t="shared" si="184"/>
        <v>15200000</v>
      </c>
      <c r="I1246" s="1082">
        <v>2</v>
      </c>
      <c r="J1246" s="897">
        <v>8000000</v>
      </c>
      <c r="K1246" s="692">
        <f t="shared" si="180"/>
        <v>16000000</v>
      </c>
      <c r="L1246" s="692">
        <f t="shared" si="181"/>
        <v>400000</v>
      </c>
      <c r="M1246" s="403" t="s">
        <v>2241</v>
      </c>
      <c r="N1246" s="403" t="s">
        <v>2294</v>
      </c>
      <c r="O1246" s="403" t="s">
        <v>2243</v>
      </c>
      <c r="P1246" s="403" t="s">
        <v>2244</v>
      </c>
      <c r="Q1246" s="2084">
        <f t="shared" si="185"/>
        <v>1</v>
      </c>
      <c r="R1246" s="2332">
        <f t="shared" si="186"/>
        <v>2</v>
      </c>
      <c r="S1246" s="2086"/>
      <c r="T1246" s="2086"/>
      <c r="U1246" s="2086"/>
      <c r="V1246" s="2086"/>
      <c r="W1246" s="2087"/>
      <c r="X1246" s="2088"/>
      <c r="Y1246" s="2089"/>
      <c r="Z1246" s="2085"/>
      <c r="AA1246" s="2085"/>
      <c r="AB1246" s="2085"/>
      <c r="AC1246" s="2085"/>
      <c r="AD1246" s="2085"/>
      <c r="AE1246" s="2089"/>
    </row>
    <row r="1247" spans="1:31" s="73" customFormat="1" ht="27">
      <c r="A1247" s="403">
        <v>895</v>
      </c>
      <c r="B1247" s="403">
        <v>26</v>
      </c>
      <c r="C1247" s="403" t="s">
        <v>2295</v>
      </c>
      <c r="D1247" s="403" t="s">
        <v>2291</v>
      </c>
      <c r="E1247" s="403" t="s">
        <v>435</v>
      </c>
      <c r="F1247" s="1063">
        <v>1</v>
      </c>
      <c r="G1247" s="1077">
        <v>12200000</v>
      </c>
      <c r="H1247" s="1078">
        <f t="shared" si="184"/>
        <v>12200000</v>
      </c>
      <c r="I1247" s="691">
        <v>1</v>
      </c>
      <c r="J1247" s="692">
        <v>12800000</v>
      </c>
      <c r="K1247" s="692">
        <f t="shared" si="180"/>
        <v>12800000</v>
      </c>
      <c r="L1247" s="692">
        <f t="shared" si="181"/>
        <v>600000</v>
      </c>
      <c r="M1247" s="403" t="s">
        <v>2241</v>
      </c>
      <c r="N1247" s="403" t="s">
        <v>2296</v>
      </c>
      <c r="O1247" s="403" t="s">
        <v>2243</v>
      </c>
      <c r="P1247" s="403" t="s">
        <v>2244</v>
      </c>
      <c r="Q1247" s="2084">
        <f t="shared" si="185"/>
        <v>1</v>
      </c>
      <c r="R1247" s="2332">
        <f t="shared" si="186"/>
        <v>1</v>
      </c>
      <c r="S1247" s="2086"/>
      <c r="T1247" s="2086"/>
      <c r="U1247" s="2086"/>
      <c r="V1247" s="2086"/>
      <c r="W1247" s="2087"/>
      <c r="X1247" s="2088"/>
      <c r="Y1247" s="2089"/>
      <c r="Z1247" s="2085"/>
      <c r="AA1247" s="2085"/>
      <c r="AB1247" s="2085"/>
      <c r="AC1247" s="2085"/>
      <c r="AD1247" s="2085"/>
      <c r="AE1247" s="2089"/>
    </row>
    <row r="1248" spans="1:31" ht="27">
      <c r="A1248" s="403">
        <v>896</v>
      </c>
      <c r="B1248" s="403">
        <v>27</v>
      </c>
      <c r="C1248" s="403" t="s">
        <v>2297</v>
      </c>
      <c r="D1248" s="403" t="s">
        <v>2291</v>
      </c>
      <c r="E1248" s="403" t="s">
        <v>435</v>
      </c>
      <c r="F1248" s="1063">
        <v>1</v>
      </c>
      <c r="G1248" s="1077">
        <v>15200000</v>
      </c>
      <c r="H1248" s="1078">
        <f t="shared" si="184"/>
        <v>15200000</v>
      </c>
      <c r="I1248" s="1082">
        <v>1</v>
      </c>
      <c r="J1248" s="897">
        <v>16000000</v>
      </c>
      <c r="K1248" s="692">
        <f t="shared" si="180"/>
        <v>16000000</v>
      </c>
      <c r="L1248" s="692">
        <f t="shared" si="181"/>
        <v>800000</v>
      </c>
      <c r="M1248" s="403" t="s">
        <v>2241</v>
      </c>
      <c r="N1248" s="403" t="s">
        <v>2298</v>
      </c>
      <c r="O1248" s="403" t="s">
        <v>2243</v>
      </c>
      <c r="P1248" s="403" t="s">
        <v>2244</v>
      </c>
      <c r="Q1248" s="2084">
        <f t="shared" si="185"/>
        <v>1</v>
      </c>
      <c r="R1248" s="2332">
        <f t="shared" si="186"/>
        <v>1</v>
      </c>
      <c r="S1248" s="2086"/>
      <c r="T1248" s="2086"/>
      <c r="U1248" s="2086"/>
      <c r="V1248" s="2086"/>
      <c r="W1248" s="2087"/>
      <c r="X1248" s="2088"/>
      <c r="Y1248" s="2089"/>
      <c r="Z1248" s="2085"/>
      <c r="AA1248" s="2085"/>
      <c r="AB1248" s="2085"/>
      <c r="AC1248" s="2085"/>
      <c r="AD1248" s="2085"/>
      <c r="AE1248" s="2089"/>
    </row>
    <row r="1249" spans="1:31" ht="27">
      <c r="A1249" s="403">
        <v>897</v>
      </c>
      <c r="B1249" s="403">
        <v>28</v>
      </c>
      <c r="C1249" s="403" t="s">
        <v>2299</v>
      </c>
      <c r="D1249" s="403" t="s">
        <v>2291</v>
      </c>
      <c r="E1249" s="403" t="s">
        <v>435</v>
      </c>
      <c r="F1249" s="1063">
        <v>2</v>
      </c>
      <c r="G1249" s="1077">
        <v>9200000</v>
      </c>
      <c r="H1249" s="1078">
        <f t="shared" si="184"/>
        <v>18400000</v>
      </c>
      <c r="I1249" s="1082">
        <v>2</v>
      </c>
      <c r="J1249" s="897">
        <v>9650000</v>
      </c>
      <c r="K1249" s="692">
        <f t="shared" si="180"/>
        <v>19300000</v>
      </c>
      <c r="L1249" s="692">
        <f t="shared" si="181"/>
        <v>450000</v>
      </c>
      <c r="M1249" s="403" t="s">
        <v>2241</v>
      </c>
      <c r="N1249" s="403" t="s">
        <v>2300</v>
      </c>
      <c r="O1249" s="403" t="s">
        <v>2243</v>
      </c>
      <c r="P1249" s="403" t="s">
        <v>2244</v>
      </c>
      <c r="Q1249" s="2084">
        <f t="shared" si="185"/>
        <v>1</v>
      </c>
      <c r="R1249" s="2332">
        <f t="shared" si="186"/>
        <v>2</v>
      </c>
      <c r="S1249" s="2086"/>
      <c r="T1249" s="2086"/>
      <c r="U1249" s="2086"/>
      <c r="V1249" s="2086"/>
      <c r="W1249" s="2087"/>
      <c r="X1249" s="2088"/>
      <c r="Y1249" s="2089"/>
      <c r="Z1249" s="2085"/>
      <c r="AA1249" s="2085"/>
      <c r="AB1249" s="2085"/>
      <c r="AC1249" s="2085"/>
      <c r="AD1249" s="2085"/>
      <c r="AE1249" s="2089"/>
    </row>
    <row r="1250" spans="1:31" ht="18">
      <c r="A1250" s="403">
        <v>898</v>
      </c>
      <c r="B1250" s="403">
        <v>29</v>
      </c>
      <c r="C1250" s="403" t="s">
        <v>2301</v>
      </c>
      <c r="D1250" s="403" t="s">
        <v>2302</v>
      </c>
      <c r="E1250" s="403"/>
      <c r="F1250" s="1063">
        <v>30</v>
      </c>
      <c r="G1250" s="1077">
        <v>6700000</v>
      </c>
      <c r="H1250" s="1078">
        <f>G1250*F1250</f>
        <v>201000000</v>
      </c>
      <c r="I1250" s="1082">
        <v>30</v>
      </c>
      <c r="J1250" s="897">
        <v>7200000</v>
      </c>
      <c r="K1250" s="692">
        <f t="shared" si="180"/>
        <v>216000000</v>
      </c>
      <c r="L1250" s="692">
        <f t="shared" si="181"/>
        <v>500000</v>
      </c>
      <c r="M1250" s="403" t="s">
        <v>2264</v>
      </c>
      <c r="N1250" s="403">
        <v>800037</v>
      </c>
      <c r="O1250" s="403" t="s">
        <v>2303</v>
      </c>
      <c r="P1250" s="403" t="s">
        <v>2244</v>
      </c>
      <c r="Q1250" s="2084">
        <f t="shared" si="185"/>
        <v>1</v>
      </c>
      <c r="R1250" s="2332">
        <f t="shared" si="186"/>
        <v>30</v>
      </c>
      <c r="S1250" s="2086"/>
      <c r="T1250" s="2086"/>
      <c r="U1250" s="2086"/>
      <c r="V1250" s="2086"/>
      <c r="W1250" s="2087"/>
      <c r="X1250" s="2088"/>
      <c r="Y1250" s="2089"/>
      <c r="Z1250" s="2085"/>
      <c r="AA1250" s="2085"/>
      <c r="AB1250" s="2085"/>
      <c r="AC1250" s="2085"/>
      <c r="AD1250" s="2085"/>
      <c r="AE1250" s="2089"/>
    </row>
    <row r="1251" spans="1:31" ht="18">
      <c r="A1251" s="403">
        <v>899</v>
      </c>
      <c r="B1251" s="403">
        <v>30</v>
      </c>
      <c r="C1251" s="403" t="s">
        <v>2304</v>
      </c>
      <c r="D1251" s="403" t="s">
        <v>2305</v>
      </c>
      <c r="E1251" s="403" t="s">
        <v>192</v>
      </c>
      <c r="F1251" s="403">
        <v>30</v>
      </c>
      <c r="G1251" s="1077">
        <v>9600000</v>
      </c>
      <c r="H1251" s="1078">
        <v>288000000</v>
      </c>
      <c r="I1251" s="691">
        <v>30</v>
      </c>
      <c r="J1251" s="692">
        <v>10200000</v>
      </c>
      <c r="K1251" s="692">
        <f t="shared" si="180"/>
        <v>306000000</v>
      </c>
      <c r="L1251" s="692">
        <f t="shared" si="181"/>
        <v>600000</v>
      </c>
      <c r="M1251" s="403" t="s">
        <v>2264</v>
      </c>
      <c r="N1251" s="403">
        <v>900165</v>
      </c>
      <c r="O1251" s="403" t="s">
        <v>2306</v>
      </c>
      <c r="P1251" s="403" t="s">
        <v>2244</v>
      </c>
      <c r="Q1251" s="2084">
        <f t="shared" si="185"/>
        <v>1</v>
      </c>
      <c r="R1251" s="2332">
        <f t="shared" si="186"/>
        <v>30</v>
      </c>
      <c r="S1251" s="2086"/>
      <c r="T1251" s="2086"/>
      <c r="U1251" s="2086"/>
      <c r="V1251" s="2086"/>
      <c r="W1251" s="2087"/>
      <c r="X1251" s="2088"/>
      <c r="Y1251" s="2089"/>
      <c r="Z1251" s="2085"/>
      <c r="AA1251" s="2085"/>
      <c r="AB1251" s="2085"/>
      <c r="AC1251" s="2085"/>
      <c r="AD1251" s="2085"/>
      <c r="AE1251" s="2089"/>
    </row>
    <row r="1252" spans="1:31" ht="15">
      <c r="A1252" s="786">
        <v>900</v>
      </c>
      <c r="B1252" s="786">
        <v>31</v>
      </c>
      <c r="C1252" s="786" t="s">
        <v>2307</v>
      </c>
      <c r="D1252" s="786" t="s">
        <v>2308</v>
      </c>
      <c r="E1252" s="786" t="s">
        <v>192</v>
      </c>
      <c r="F1252" s="786">
        <v>2</v>
      </c>
      <c r="G1252" s="1083">
        <v>3000000</v>
      </c>
      <c r="H1252" s="1084">
        <f t="shared" si="184"/>
        <v>6000000</v>
      </c>
      <c r="I1252" s="1085">
        <v>2</v>
      </c>
      <c r="J1252" s="738">
        <v>3200000</v>
      </c>
      <c r="K1252" s="738">
        <f t="shared" si="180"/>
        <v>6400000</v>
      </c>
      <c r="L1252" s="738">
        <f t="shared" si="181"/>
        <v>200000</v>
      </c>
      <c r="M1252" s="420" t="s">
        <v>2264</v>
      </c>
      <c r="N1252" s="420" t="s">
        <v>2309</v>
      </c>
      <c r="O1252" s="420" t="s">
        <v>2243</v>
      </c>
      <c r="P1252" s="786" t="s">
        <v>2244</v>
      </c>
      <c r="Q1252" s="2084">
        <f t="shared" si="185"/>
        <v>1</v>
      </c>
      <c r="R1252" s="2332">
        <f t="shared" si="186"/>
        <v>2</v>
      </c>
      <c r="S1252" s="2086"/>
      <c r="T1252" s="2086"/>
      <c r="U1252" s="2086"/>
      <c r="V1252" s="2086"/>
      <c r="W1252" s="2087"/>
      <c r="X1252" s="2088"/>
      <c r="Y1252" s="2089"/>
      <c r="Z1252" s="2085"/>
      <c r="AA1252" s="2085"/>
      <c r="AB1252" s="2085"/>
      <c r="AC1252" s="2085"/>
      <c r="AD1252" s="2085"/>
      <c r="AE1252" s="2089"/>
    </row>
    <row r="1253" spans="1:31">
      <c r="A1253" s="142"/>
      <c r="B1253" s="142"/>
      <c r="C1253" s="142" t="s">
        <v>893</v>
      </c>
      <c r="D1253" s="142"/>
      <c r="E1253" s="142"/>
      <c r="F1253" s="142"/>
      <c r="G1253" s="142"/>
      <c r="H1253" s="2312">
        <f>SUM(H1222:H1252)</f>
        <v>2290700000</v>
      </c>
      <c r="I1253" s="743"/>
      <c r="J1253" s="743"/>
      <c r="K1253" s="1086">
        <f>SUM(K1222:K1252)</f>
        <v>2425950000</v>
      </c>
      <c r="L1253" s="743"/>
      <c r="M1253" s="142"/>
      <c r="N1253" s="142"/>
      <c r="O1253" s="142"/>
      <c r="P1253" s="142"/>
      <c r="Q1253" s="115"/>
    </row>
    <row r="1254" spans="1:31">
      <c r="C1254" s="72" t="s">
        <v>2310</v>
      </c>
      <c r="F1254" s="71"/>
      <c r="G1254" s="71"/>
      <c r="H1254" s="71"/>
      <c r="I1254" s="71"/>
      <c r="J1254" s="505"/>
      <c r="K1254" s="71"/>
    </row>
    <row r="1255" spans="1:31">
      <c r="F1255" s="71"/>
      <c r="G1255" s="71"/>
      <c r="H1255" s="71"/>
      <c r="I1255" s="71"/>
      <c r="J1255" s="505"/>
      <c r="K1255" s="71"/>
    </row>
    <row r="1256" spans="1:31">
      <c r="A1256" s="71" t="s">
        <v>2311</v>
      </c>
    </row>
    <row r="1257" spans="1:31" s="12" customFormat="1">
      <c r="A1257" s="2092" t="s">
        <v>5</v>
      </c>
      <c r="B1257" s="2092" t="s">
        <v>6</v>
      </c>
      <c r="C1257" s="2094" t="s">
        <v>7</v>
      </c>
      <c r="D1257" s="2096" t="s">
        <v>8</v>
      </c>
      <c r="E1257" s="2092" t="s">
        <v>9</v>
      </c>
      <c r="F1257" s="2098" t="s">
        <v>10</v>
      </c>
      <c r="G1257" s="2098"/>
      <c r="H1257" s="2098"/>
      <c r="I1257" s="2098" t="s">
        <v>11</v>
      </c>
      <c r="J1257" s="2098"/>
      <c r="K1257" s="2098"/>
      <c r="L1257" s="2099" t="s">
        <v>12</v>
      </c>
      <c r="M1257" s="9"/>
      <c r="N1257" s="9"/>
      <c r="O1257" s="9"/>
      <c r="P1257" s="2101" t="s">
        <v>13</v>
      </c>
      <c r="Q1257" s="2265" t="s">
        <v>4740</v>
      </c>
      <c r="R1257" s="2319" t="s">
        <v>4754</v>
      </c>
      <c r="S1257" s="2267" t="s">
        <v>4767</v>
      </c>
      <c r="T1257" s="2268"/>
      <c r="U1257" s="2268"/>
      <c r="V1257" s="2268"/>
      <c r="W1257" s="2269"/>
      <c r="X1257" s="2267" t="s">
        <v>4768</v>
      </c>
      <c r="Y1257" s="2268"/>
      <c r="Z1257" s="2268"/>
      <c r="AA1257" s="2268"/>
      <c r="AB1257" s="2268"/>
      <c r="AC1257" s="2268"/>
      <c r="AD1257" s="2268"/>
      <c r="AE1257" s="2269"/>
    </row>
    <row r="1258" spans="1:31" s="16" customFormat="1" ht="27">
      <c r="A1258" s="2093"/>
      <c r="B1258" s="2093"/>
      <c r="C1258" s="2095"/>
      <c r="D1258" s="2097"/>
      <c r="E1258" s="2093"/>
      <c r="F1258" s="13" t="s">
        <v>14</v>
      </c>
      <c r="G1258" s="13" t="s">
        <v>15</v>
      </c>
      <c r="H1258" s="13" t="s">
        <v>16</v>
      </c>
      <c r="I1258" s="13" t="s">
        <v>14</v>
      </c>
      <c r="J1258" s="13" t="s">
        <v>15</v>
      </c>
      <c r="K1258" s="13" t="s">
        <v>16</v>
      </c>
      <c r="L1258" s="2100"/>
      <c r="M1258" s="14" t="s">
        <v>17</v>
      </c>
      <c r="N1258" s="14" t="s">
        <v>18</v>
      </c>
      <c r="O1258" s="14" t="s">
        <v>19</v>
      </c>
      <c r="P1258" s="2102"/>
      <c r="Q1258" s="2266"/>
      <c r="R1258" s="2320"/>
      <c r="S1258" s="2263" t="s">
        <v>4755</v>
      </c>
      <c r="T1258" s="2263" t="s">
        <v>4756</v>
      </c>
      <c r="U1258" s="2263" t="s">
        <v>4757</v>
      </c>
      <c r="V1258" s="2263" t="s">
        <v>4758</v>
      </c>
      <c r="W1258" s="2263" t="s">
        <v>4759</v>
      </c>
      <c r="X1258" s="2264" t="s">
        <v>4760</v>
      </c>
      <c r="Y1258" s="2264" t="s">
        <v>4761</v>
      </c>
      <c r="Z1258" s="2264" t="s">
        <v>4762</v>
      </c>
      <c r="AA1258" s="2264" t="s">
        <v>4763</v>
      </c>
      <c r="AB1258" s="2264" t="s">
        <v>4764</v>
      </c>
      <c r="AC1258" s="2264" t="s">
        <v>4765</v>
      </c>
      <c r="AD1258" s="2264" t="s">
        <v>4766</v>
      </c>
      <c r="AE1258" s="2264" t="s">
        <v>4755</v>
      </c>
    </row>
    <row r="1259" spans="1:31" s="70" customFormat="1">
      <c r="A1259" s="331">
        <v>1</v>
      </c>
      <c r="B1259" s="331">
        <v>2</v>
      </c>
      <c r="C1259" s="63">
        <v>3</v>
      </c>
      <c r="D1259" s="331">
        <v>4</v>
      </c>
      <c r="E1259" s="331">
        <v>5</v>
      </c>
      <c r="F1259" s="57">
        <v>6</v>
      </c>
      <c r="G1259" s="57">
        <v>7</v>
      </c>
      <c r="H1259" s="331">
        <v>8</v>
      </c>
      <c r="I1259" s="331">
        <v>9</v>
      </c>
      <c r="J1259" s="331">
        <v>10</v>
      </c>
      <c r="K1259" s="331">
        <v>11</v>
      </c>
      <c r="L1259" s="331">
        <v>12</v>
      </c>
      <c r="M1259" s="331">
        <v>9</v>
      </c>
      <c r="N1259" s="331">
        <v>10</v>
      </c>
      <c r="O1259" s="331">
        <v>11</v>
      </c>
      <c r="P1259" s="21">
        <v>13</v>
      </c>
      <c r="Q1259" s="22"/>
      <c r="R1259" s="2321"/>
      <c r="S1259" s="485"/>
    </row>
    <row r="1260" spans="1:31" ht="27">
      <c r="A1260" s="677" t="s">
        <v>2312</v>
      </c>
      <c r="B1260" s="677" t="s">
        <v>1399</v>
      </c>
      <c r="C1260" s="678" t="s">
        <v>2313</v>
      </c>
      <c r="D1260" s="678" t="s">
        <v>2314</v>
      </c>
      <c r="E1260" s="679" t="s">
        <v>47</v>
      </c>
      <c r="F1260" s="679" t="s">
        <v>2315</v>
      </c>
      <c r="G1260" s="1033">
        <v>8900000</v>
      </c>
      <c r="H1260" s="680">
        <f t="shared" ref="H1260:H1271" si="187">G1260*F1260</f>
        <v>178000000</v>
      </c>
      <c r="I1260" s="680">
        <v>20</v>
      </c>
      <c r="J1260" s="680">
        <v>9986000</v>
      </c>
      <c r="K1260" s="680">
        <f>I1260*J1260</f>
        <v>199720000</v>
      </c>
      <c r="L1260" s="682">
        <f t="shared" ref="L1260:L1271" si="188">J1260-G1260</f>
        <v>1086000</v>
      </c>
      <c r="M1260" s="280" t="s">
        <v>2316</v>
      </c>
      <c r="N1260" s="719" t="s">
        <v>2317</v>
      </c>
      <c r="O1260" s="677" t="s">
        <v>1416</v>
      </c>
      <c r="P1260" s="400" t="s">
        <v>1406</v>
      </c>
      <c r="Q1260" s="2084">
        <f t="shared" ref="Q1260" si="189">R1260/F1260</f>
        <v>1</v>
      </c>
      <c r="R1260" s="2332">
        <f t="shared" ref="R1260" si="190">+F1260-(S1260+T1260+U1260+W1260+X1260+Y1260+Z1260+AA1260+AB1260+AC1260+AD1260+AE1260)</f>
        <v>20</v>
      </c>
      <c r="S1260" s="2086"/>
      <c r="T1260" s="2086"/>
      <c r="U1260" s="2086"/>
      <c r="V1260" s="2086"/>
      <c r="W1260" s="2087"/>
      <c r="X1260" s="2088"/>
      <c r="Y1260" s="2089"/>
      <c r="Z1260" s="2085"/>
      <c r="AA1260" s="2085"/>
      <c r="AB1260" s="2085"/>
      <c r="AC1260" s="2085"/>
      <c r="AD1260" s="2085"/>
      <c r="AE1260" s="2089"/>
    </row>
    <row r="1261" spans="1:31" ht="36">
      <c r="A1261" s="685" t="s">
        <v>2318</v>
      </c>
      <c r="B1261" s="685" t="s">
        <v>1408</v>
      </c>
      <c r="C1261" s="289" t="s">
        <v>2319</v>
      </c>
      <c r="D1261" s="686" t="s">
        <v>2314</v>
      </c>
      <c r="E1261" s="687" t="s">
        <v>47</v>
      </c>
      <c r="F1261" s="688">
        <v>20</v>
      </c>
      <c r="G1261" s="1034">
        <v>8900000</v>
      </c>
      <c r="H1261" s="690">
        <f t="shared" si="187"/>
        <v>178000000</v>
      </c>
      <c r="I1261" s="690">
        <v>20</v>
      </c>
      <c r="J1261" s="690">
        <v>9986000</v>
      </c>
      <c r="K1261" s="690">
        <f t="shared" ref="K1261:K1271" si="191">I1261*J1261</f>
        <v>199720000</v>
      </c>
      <c r="L1261" s="692">
        <f t="shared" si="188"/>
        <v>1086000</v>
      </c>
      <c r="M1261" s="289" t="s">
        <v>2320</v>
      </c>
      <c r="N1261" s="289" t="s">
        <v>2321</v>
      </c>
      <c r="O1261" s="685" t="s">
        <v>1416</v>
      </c>
      <c r="P1261" s="403" t="s">
        <v>1406</v>
      </c>
      <c r="Q1261" s="2084">
        <f t="shared" ref="Q1261:Q1271" si="192">R1261/F1261</f>
        <v>1</v>
      </c>
      <c r="R1261" s="2332">
        <f t="shared" ref="R1261:R1271" si="193">+F1261-(S1261+T1261+U1261+W1261+X1261+Y1261+Z1261+AA1261+AB1261+AC1261+AD1261+AE1261)</f>
        <v>20</v>
      </c>
      <c r="S1261" s="2086"/>
      <c r="T1261" s="2086"/>
      <c r="U1261" s="2086"/>
      <c r="V1261" s="2086"/>
      <c r="W1261" s="2087"/>
      <c r="X1261" s="2088"/>
      <c r="Y1261" s="2089"/>
      <c r="Z1261" s="2085"/>
      <c r="AA1261" s="2085"/>
      <c r="AB1261" s="2085"/>
      <c r="AC1261" s="2085"/>
      <c r="AD1261" s="2085"/>
      <c r="AE1261" s="2089"/>
    </row>
    <row r="1262" spans="1:31" ht="36">
      <c r="A1262" s="685" t="s">
        <v>2322</v>
      </c>
      <c r="B1262" s="685" t="s">
        <v>1416</v>
      </c>
      <c r="C1262" s="289" t="s">
        <v>2323</v>
      </c>
      <c r="D1262" s="686" t="s">
        <v>2314</v>
      </c>
      <c r="E1262" s="687" t="s">
        <v>47</v>
      </c>
      <c r="F1262" s="688">
        <v>40</v>
      </c>
      <c r="G1262" s="1034">
        <v>3100000</v>
      </c>
      <c r="H1262" s="690">
        <f t="shared" si="187"/>
        <v>124000000</v>
      </c>
      <c r="I1262" s="690">
        <v>40</v>
      </c>
      <c r="J1262" s="690">
        <v>3446000</v>
      </c>
      <c r="K1262" s="690">
        <f t="shared" si="191"/>
        <v>137840000</v>
      </c>
      <c r="L1262" s="692">
        <f t="shared" si="188"/>
        <v>346000</v>
      </c>
      <c r="M1262" s="289" t="s">
        <v>2324</v>
      </c>
      <c r="N1262" s="289" t="s">
        <v>2325</v>
      </c>
      <c r="O1262" s="685" t="s">
        <v>1416</v>
      </c>
      <c r="P1262" s="403" t="s">
        <v>1406</v>
      </c>
      <c r="Q1262" s="2084">
        <f t="shared" si="192"/>
        <v>1</v>
      </c>
      <c r="R1262" s="2332">
        <f t="shared" si="193"/>
        <v>40</v>
      </c>
      <c r="S1262" s="2086"/>
      <c r="T1262" s="2086"/>
      <c r="U1262" s="2086"/>
      <c r="V1262" s="2086"/>
      <c r="W1262" s="2087"/>
      <c r="X1262" s="2088"/>
      <c r="Y1262" s="2089"/>
      <c r="Z1262" s="2085"/>
      <c r="AA1262" s="2085"/>
      <c r="AB1262" s="2085"/>
      <c r="AC1262" s="2085"/>
      <c r="AD1262" s="2085"/>
      <c r="AE1262" s="2089"/>
    </row>
    <row r="1263" spans="1:31" ht="27">
      <c r="A1263" s="685" t="s">
        <v>2326</v>
      </c>
      <c r="B1263" s="685" t="s">
        <v>1422</v>
      </c>
      <c r="C1263" s="289" t="s">
        <v>2327</v>
      </c>
      <c r="D1263" s="289" t="s">
        <v>104</v>
      </c>
      <c r="E1263" s="687" t="s">
        <v>47</v>
      </c>
      <c r="F1263" s="688">
        <v>300</v>
      </c>
      <c r="G1263" s="1034">
        <v>299000</v>
      </c>
      <c r="H1263" s="690">
        <f t="shared" si="187"/>
        <v>89700000</v>
      </c>
      <c r="I1263" s="690">
        <v>300</v>
      </c>
      <c r="J1263" s="690">
        <v>308000</v>
      </c>
      <c r="K1263" s="690">
        <f t="shared" si="191"/>
        <v>92400000</v>
      </c>
      <c r="L1263" s="692">
        <f t="shared" si="188"/>
        <v>9000</v>
      </c>
      <c r="M1263" s="289" t="s">
        <v>2328</v>
      </c>
      <c r="N1263" s="727" t="s">
        <v>2329</v>
      </c>
      <c r="O1263" s="685" t="s">
        <v>1414</v>
      </c>
      <c r="P1263" s="403" t="s">
        <v>1406</v>
      </c>
      <c r="Q1263" s="2084">
        <f t="shared" si="192"/>
        <v>1</v>
      </c>
      <c r="R1263" s="2332">
        <f t="shared" si="193"/>
        <v>300</v>
      </c>
      <c r="S1263" s="2086"/>
      <c r="T1263" s="2086"/>
      <c r="U1263" s="2086"/>
      <c r="V1263" s="2086"/>
      <c r="W1263" s="2087"/>
      <c r="X1263" s="2088"/>
      <c r="Y1263" s="2089"/>
      <c r="Z1263" s="2085"/>
      <c r="AA1263" s="2085"/>
      <c r="AB1263" s="2085"/>
      <c r="AC1263" s="2085"/>
      <c r="AD1263" s="2085"/>
      <c r="AE1263" s="2089"/>
    </row>
    <row r="1264" spans="1:31" ht="27">
      <c r="A1264" s="685" t="s">
        <v>2330</v>
      </c>
      <c r="B1264" s="685" t="s">
        <v>1428</v>
      </c>
      <c r="C1264" s="289" t="s">
        <v>2331</v>
      </c>
      <c r="D1264" s="289" t="s">
        <v>2332</v>
      </c>
      <c r="E1264" s="687" t="s">
        <v>47</v>
      </c>
      <c r="F1264" s="688">
        <v>10</v>
      </c>
      <c r="G1264" s="1034">
        <v>3600000</v>
      </c>
      <c r="H1264" s="690">
        <f t="shared" si="187"/>
        <v>36000000</v>
      </c>
      <c r="I1264" s="690">
        <v>10</v>
      </c>
      <c r="J1264" s="690">
        <v>4046000</v>
      </c>
      <c r="K1264" s="690">
        <f t="shared" si="191"/>
        <v>40460000</v>
      </c>
      <c r="L1264" s="692">
        <f t="shared" si="188"/>
        <v>446000</v>
      </c>
      <c r="M1264" s="289" t="s">
        <v>1464</v>
      </c>
      <c r="N1264" s="289" t="s">
        <v>2333</v>
      </c>
      <c r="O1264" s="685" t="s">
        <v>1416</v>
      </c>
      <c r="P1264" s="403" t="s">
        <v>1406</v>
      </c>
      <c r="Q1264" s="2084">
        <f t="shared" si="192"/>
        <v>1</v>
      </c>
      <c r="R1264" s="2332">
        <f t="shared" si="193"/>
        <v>10</v>
      </c>
      <c r="S1264" s="2086"/>
      <c r="T1264" s="2086"/>
      <c r="U1264" s="2086"/>
      <c r="V1264" s="2086"/>
      <c r="W1264" s="2087"/>
      <c r="X1264" s="2088"/>
      <c r="Y1264" s="2089"/>
      <c r="Z1264" s="2085"/>
      <c r="AA1264" s="2085"/>
      <c r="AB1264" s="2085"/>
      <c r="AC1264" s="2085"/>
      <c r="AD1264" s="2085"/>
      <c r="AE1264" s="2089"/>
    </row>
    <row r="1265" spans="1:31" ht="27">
      <c r="A1265" s="685" t="s">
        <v>2334</v>
      </c>
      <c r="B1265" s="685" t="s">
        <v>1434</v>
      </c>
      <c r="C1265" s="289" t="s">
        <v>2335</v>
      </c>
      <c r="D1265" s="289" t="s">
        <v>2336</v>
      </c>
      <c r="E1265" s="687" t="s">
        <v>47</v>
      </c>
      <c r="F1265" s="688">
        <v>20</v>
      </c>
      <c r="G1265" s="1034">
        <v>3600000</v>
      </c>
      <c r="H1265" s="690">
        <f t="shared" si="187"/>
        <v>72000000</v>
      </c>
      <c r="I1265" s="690">
        <v>20</v>
      </c>
      <c r="J1265" s="690">
        <v>4046000</v>
      </c>
      <c r="K1265" s="690">
        <f t="shared" si="191"/>
        <v>80920000</v>
      </c>
      <c r="L1265" s="692">
        <f t="shared" si="188"/>
        <v>446000</v>
      </c>
      <c r="M1265" s="289" t="s">
        <v>1464</v>
      </c>
      <c r="N1265" s="289" t="s">
        <v>2337</v>
      </c>
      <c r="O1265" s="685" t="s">
        <v>1416</v>
      </c>
      <c r="P1265" s="403" t="s">
        <v>1406</v>
      </c>
      <c r="Q1265" s="2084">
        <f t="shared" si="192"/>
        <v>1</v>
      </c>
      <c r="R1265" s="2332">
        <f t="shared" si="193"/>
        <v>20</v>
      </c>
      <c r="S1265" s="2086"/>
      <c r="T1265" s="2086"/>
      <c r="U1265" s="2086"/>
      <c r="V1265" s="2086"/>
      <c r="W1265" s="2087"/>
      <c r="X1265" s="2088"/>
      <c r="Y1265" s="2089"/>
      <c r="Z1265" s="2085"/>
      <c r="AA1265" s="2085"/>
      <c r="AB1265" s="2085"/>
      <c r="AC1265" s="2085"/>
      <c r="AD1265" s="2085"/>
      <c r="AE1265" s="2089"/>
    </row>
    <row r="1266" spans="1:31" ht="36">
      <c r="A1266" s="685" t="s">
        <v>2338</v>
      </c>
      <c r="B1266" s="685" t="s">
        <v>1437</v>
      </c>
      <c r="C1266" s="289" t="s">
        <v>2339</v>
      </c>
      <c r="D1266" s="289" t="s">
        <v>2336</v>
      </c>
      <c r="E1266" s="687" t="s">
        <v>47</v>
      </c>
      <c r="F1266" s="688">
        <v>50</v>
      </c>
      <c r="G1266" s="1034">
        <v>2500000</v>
      </c>
      <c r="H1266" s="690">
        <f t="shared" si="187"/>
        <v>125000000</v>
      </c>
      <c r="I1266" s="690">
        <v>50</v>
      </c>
      <c r="J1266" s="690">
        <v>2693000</v>
      </c>
      <c r="K1266" s="690">
        <f t="shared" si="191"/>
        <v>134650000</v>
      </c>
      <c r="L1266" s="692">
        <f t="shared" si="188"/>
        <v>193000</v>
      </c>
      <c r="M1266" s="289" t="s">
        <v>2340</v>
      </c>
      <c r="N1266" s="289" t="s">
        <v>2341</v>
      </c>
      <c r="O1266" s="685" t="s">
        <v>1408</v>
      </c>
      <c r="P1266" s="403" t="s">
        <v>1406</v>
      </c>
      <c r="Q1266" s="2084">
        <f t="shared" si="192"/>
        <v>1</v>
      </c>
      <c r="R1266" s="2332">
        <f t="shared" si="193"/>
        <v>50</v>
      </c>
      <c r="S1266" s="2086"/>
      <c r="T1266" s="2086"/>
      <c r="U1266" s="2086"/>
      <c r="V1266" s="2086"/>
      <c r="W1266" s="2087"/>
      <c r="X1266" s="2088"/>
      <c r="Y1266" s="2089"/>
      <c r="Z1266" s="2085"/>
      <c r="AA1266" s="2085"/>
      <c r="AB1266" s="2085"/>
      <c r="AC1266" s="2085"/>
      <c r="AD1266" s="2085"/>
      <c r="AE1266" s="2089"/>
    </row>
    <row r="1267" spans="1:31" ht="27">
      <c r="A1267" s="685" t="s">
        <v>2342</v>
      </c>
      <c r="B1267" s="685" t="s">
        <v>1441</v>
      </c>
      <c r="C1267" s="289" t="s">
        <v>2313</v>
      </c>
      <c r="D1267" s="289" t="s">
        <v>2332</v>
      </c>
      <c r="E1267" s="687" t="s">
        <v>47</v>
      </c>
      <c r="F1267" s="688">
        <v>20</v>
      </c>
      <c r="G1267" s="1034">
        <v>8900000</v>
      </c>
      <c r="H1267" s="690">
        <f t="shared" si="187"/>
        <v>178000000</v>
      </c>
      <c r="I1267" s="690">
        <v>20</v>
      </c>
      <c r="J1267" s="690">
        <v>9986000</v>
      </c>
      <c r="K1267" s="690">
        <f t="shared" si="191"/>
        <v>199720000</v>
      </c>
      <c r="L1267" s="692">
        <f t="shared" si="188"/>
        <v>1086000</v>
      </c>
      <c r="M1267" s="289" t="s">
        <v>2316</v>
      </c>
      <c r="N1267" s="727" t="s">
        <v>2317</v>
      </c>
      <c r="O1267" s="685" t="s">
        <v>1416</v>
      </c>
      <c r="P1267" s="403" t="s">
        <v>1406</v>
      </c>
      <c r="Q1267" s="2084">
        <f t="shared" si="192"/>
        <v>1</v>
      </c>
      <c r="R1267" s="2332">
        <f t="shared" si="193"/>
        <v>20</v>
      </c>
      <c r="S1267" s="2086"/>
      <c r="T1267" s="2086"/>
      <c r="U1267" s="2086"/>
      <c r="V1267" s="2086"/>
      <c r="W1267" s="2087"/>
      <c r="X1267" s="2088"/>
      <c r="Y1267" s="2089"/>
      <c r="Z1267" s="2085"/>
      <c r="AA1267" s="2085"/>
      <c r="AB1267" s="2085"/>
      <c r="AC1267" s="2085"/>
      <c r="AD1267" s="2085"/>
      <c r="AE1267" s="2089"/>
    </row>
    <row r="1268" spans="1:31" ht="36">
      <c r="A1268" s="685" t="s">
        <v>2343</v>
      </c>
      <c r="B1268" s="685" t="s">
        <v>1447</v>
      </c>
      <c r="C1268" s="289" t="s">
        <v>2344</v>
      </c>
      <c r="D1268" s="289" t="s">
        <v>2332</v>
      </c>
      <c r="E1268" s="687" t="s">
        <v>47</v>
      </c>
      <c r="F1268" s="688">
        <v>20</v>
      </c>
      <c r="G1268" s="1034">
        <v>8900000</v>
      </c>
      <c r="H1268" s="690">
        <f t="shared" si="187"/>
        <v>178000000</v>
      </c>
      <c r="I1268" s="690">
        <v>20</v>
      </c>
      <c r="J1268" s="690">
        <v>9986000</v>
      </c>
      <c r="K1268" s="690">
        <f t="shared" si="191"/>
        <v>199720000</v>
      </c>
      <c r="L1268" s="692">
        <f t="shared" si="188"/>
        <v>1086000</v>
      </c>
      <c r="M1268" s="289" t="s">
        <v>2320</v>
      </c>
      <c r="N1268" s="289" t="s">
        <v>2321</v>
      </c>
      <c r="O1268" s="685" t="s">
        <v>1416</v>
      </c>
      <c r="P1268" s="403" t="s">
        <v>1406</v>
      </c>
      <c r="Q1268" s="2084">
        <f t="shared" si="192"/>
        <v>1</v>
      </c>
      <c r="R1268" s="2332">
        <f t="shared" si="193"/>
        <v>20</v>
      </c>
      <c r="S1268" s="2086"/>
      <c r="T1268" s="2086"/>
      <c r="U1268" s="2086"/>
      <c r="V1268" s="2086"/>
      <c r="W1268" s="2087"/>
      <c r="X1268" s="2088"/>
      <c r="Y1268" s="2089"/>
      <c r="Z1268" s="2085"/>
      <c r="AA1268" s="2085"/>
      <c r="AB1268" s="2085"/>
      <c r="AC1268" s="2085"/>
      <c r="AD1268" s="2085"/>
      <c r="AE1268" s="2089"/>
    </row>
    <row r="1269" spans="1:31" ht="36">
      <c r="A1269" s="685" t="s">
        <v>2345</v>
      </c>
      <c r="B1269" s="685" t="s">
        <v>1402</v>
      </c>
      <c r="C1269" s="289" t="s">
        <v>2346</v>
      </c>
      <c r="D1269" s="289" t="s">
        <v>2332</v>
      </c>
      <c r="E1269" s="687" t="s">
        <v>47</v>
      </c>
      <c r="F1269" s="688">
        <v>10</v>
      </c>
      <c r="G1269" s="1034">
        <v>2950000</v>
      </c>
      <c r="H1269" s="690">
        <f t="shared" si="187"/>
        <v>29500000</v>
      </c>
      <c r="I1269" s="690">
        <v>10</v>
      </c>
      <c r="J1269" s="690">
        <v>3036000</v>
      </c>
      <c r="K1269" s="690">
        <f t="shared" si="191"/>
        <v>30360000</v>
      </c>
      <c r="L1269" s="692">
        <f t="shared" si="188"/>
        <v>86000</v>
      </c>
      <c r="M1269" s="289" t="s">
        <v>2340</v>
      </c>
      <c r="N1269" s="727" t="s">
        <v>2347</v>
      </c>
      <c r="O1269" s="685" t="s">
        <v>1416</v>
      </c>
      <c r="P1269" s="403" t="s">
        <v>1406</v>
      </c>
      <c r="Q1269" s="2084">
        <f t="shared" si="192"/>
        <v>1</v>
      </c>
      <c r="R1269" s="2332">
        <f t="shared" si="193"/>
        <v>10</v>
      </c>
      <c r="S1269" s="2086"/>
      <c r="T1269" s="2086"/>
      <c r="U1269" s="2086"/>
      <c r="V1269" s="2086"/>
      <c r="W1269" s="2087"/>
      <c r="X1269" s="2088"/>
      <c r="Y1269" s="2089"/>
      <c r="Z1269" s="2085"/>
      <c r="AA1269" s="2085"/>
      <c r="AB1269" s="2085"/>
      <c r="AC1269" s="2085"/>
      <c r="AD1269" s="2085"/>
      <c r="AE1269" s="2089"/>
    </row>
    <row r="1270" spans="1:31" ht="27">
      <c r="A1270" s="685" t="s">
        <v>2348</v>
      </c>
      <c r="B1270" s="685" t="s">
        <v>1457</v>
      </c>
      <c r="C1270" s="289" t="s">
        <v>2349</v>
      </c>
      <c r="D1270" s="289" t="s">
        <v>2332</v>
      </c>
      <c r="E1270" s="687" t="s">
        <v>47</v>
      </c>
      <c r="F1270" s="688">
        <v>20</v>
      </c>
      <c r="G1270" s="1034">
        <v>13080000</v>
      </c>
      <c r="H1270" s="702">
        <f t="shared" si="187"/>
        <v>261600000</v>
      </c>
      <c r="I1270" s="690">
        <v>20</v>
      </c>
      <c r="J1270" s="690">
        <v>13200000</v>
      </c>
      <c r="K1270" s="690">
        <f t="shared" si="191"/>
        <v>264000000</v>
      </c>
      <c r="L1270" s="692">
        <f t="shared" si="188"/>
        <v>120000</v>
      </c>
      <c r="M1270" s="289" t="s">
        <v>1464</v>
      </c>
      <c r="N1270" s="727" t="s">
        <v>2350</v>
      </c>
      <c r="O1270" s="701">
        <v>3</v>
      </c>
      <c r="P1270" s="403" t="s">
        <v>1406</v>
      </c>
      <c r="Q1270" s="2084">
        <f t="shared" si="192"/>
        <v>1</v>
      </c>
      <c r="R1270" s="2332">
        <f t="shared" si="193"/>
        <v>20</v>
      </c>
      <c r="S1270" s="2086"/>
      <c r="T1270" s="2086"/>
      <c r="U1270" s="2086"/>
      <c r="V1270" s="2086"/>
      <c r="W1270" s="2087"/>
      <c r="X1270" s="2088"/>
      <c r="Y1270" s="2089"/>
      <c r="Z1270" s="2085"/>
      <c r="AA1270" s="2085"/>
      <c r="AB1270" s="2085"/>
      <c r="AC1270" s="2085"/>
      <c r="AD1270" s="2085"/>
      <c r="AE1270" s="2089"/>
    </row>
    <row r="1271" spans="1:31" ht="27">
      <c r="A1271" s="1087" t="s">
        <v>2351</v>
      </c>
      <c r="B1271" s="1087" t="s">
        <v>1462</v>
      </c>
      <c r="C1271" s="1088" t="s">
        <v>2352</v>
      </c>
      <c r="D1271" s="1088" t="s">
        <v>2332</v>
      </c>
      <c r="E1271" s="1089" t="s">
        <v>47</v>
      </c>
      <c r="F1271" s="1090">
        <v>10</v>
      </c>
      <c r="G1271" s="1091">
        <v>2710000</v>
      </c>
      <c r="H1271" s="1092">
        <f t="shared" si="187"/>
        <v>27100000</v>
      </c>
      <c r="I1271" s="1093">
        <v>10</v>
      </c>
      <c r="J1271" s="1093">
        <v>2723000</v>
      </c>
      <c r="K1271" s="1093">
        <f t="shared" si="191"/>
        <v>27230000</v>
      </c>
      <c r="L1271" s="738">
        <f t="shared" si="188"/>
        <v>13000</v>
      </c>
      <c r="M1271" s="1088" t="s">
        <v>1464</v>
      </c>
      <c r="N1271" s="733" t="s">
        <v>2353</v>
      </c>
      <c r="O1271" s="1090">
        <v>3</v>
      </c>
      <c r="P1271" s="786" t="s">
        <v>1406</v>
      </c>
      <c r="Q1271" s="2084">
        <f t="shared" si="192"/>
        <v>1</v>
      </c>
      <c r="R1271" s="2332">
        <f t="shared" si="193"/>
        <v>10</v>
      </c>
      <c r="S1271" s="2086"/>
      <c r="T1271" s="2086"/>
      <c r="U1271" s="2086"/>
      <c r="V1271" s="2086"/>
      <c r="W1271" s="2087"/>
      <c r="X1271" s="2088"/>
      <c r="Y1271" s="2089"/>
      <c r="Z1271" s="2085"/>
      <c r="AA1271" s="2085"/>
      <c r="AB1271" s="2085"/>
      <c r="AC1271" s="2085"/>
      <c r="AD1271" s="2085"/>
      <c r="AE1271" s="2089"/>
    </row>
    <row r="1272" spans="1:31">
      <c r="A1272" s="1094"/>
      <c r="B1272" s="1094"/>
      <c r="C1272" s="2169" t="s">
        <v>1480</v>
      </c>
      <c r="D1272" s="2169"/>
      <c r="E1272" s="2169"/>
      <c r="F1272" s="2169"/>
      <c r="G1272" s="1095"/>
      <c r="H1272" s="2296">
        <f>SUM(H1260:H1271)</f>
        <v>1476900000</v>
      </c>
      <c r="I1272" s="1096"/>
      <c r="J1272" s="1097"/>
      <c r="K1272" s="603">
        <f>SUM(K1260:K1271)</f>
        <v>1606740000</v>
      </c>
      <c r="L1272" s="743"/>
      <c r="M1272" s="142"/>
      <c r="N1272" s="142"/>
      <c r="O1272" s="142"/>
      <c r="P1272" s="142"/>
      <c r="Q1272" s="115"/>
    </row>
    <row r="1273" spans="1:31">
      <c r="A1273" s="1094"/>
      <c r="B1273" s="1094"/>
      <c r="C1273" s="2170" t="s">
        <v>2354</v>
      </c>
      <c r="D1273" s="2170"/>
      <c r="E1273" s="2170"/>
      <c r="F1273" s="2170"/>
      <c r="G1273" s="2170"/>
      <c r="H1273" s="2170"/>
      <c r="I1273" s="2170"/>
      <c r="J1273" s="21"/>
      <c r="K1273" s="1096"/>
      <c r="L1273" s="743"/>
      <c r="M1273" s="142"/>
      <c r="N1273" s="142"/>
      <c r="O1273" s="142"/>
      <c r="P1273" s="142"/>
      <c r="Q1273" s="115"/>
    </row>
    <row r="1274" spans="1:31">
      <c r="A1274" s="1098"/>
      <c r="B1274" s="1098"/>
      <c r="C1274" s="1099"/>
      <c r="D1274" s="1099"/>
      <c r="E1274" s="1099"/>
      <c r="F1274" s="1099"/>
      <c r="G1274" s="1099"/>
      <c r="H1274" s="1099"/>
      <c r="I1274" s="1099"/>
      <c r="J1274" s="22"/>
      <c r="K1274" s="1100"/>
      <c r="L1274" s="726"/>
      <c r="M1274" s="115"/>
      <c r="N1274" s="115"/>
      <c r="O1274" s="115"/>
      <c r="P1274" s="115"/>
      <c r="Q1274" s="115"/>
    </row>
    <row r="1275" spans="1:31">
      <c r="A1275" s="1098"/>
      <c r="B1275" s="1098"/>
      <c r="C1275" s="1099"/>
      <c r="D1275" s="1099"/>
      <c r="E1275" s="1099"/>
      <c r="F1275" s="1099"/>
      <c r="G1275" s="1099"/>
      <c r="H1275" s="1099"/>
      <c r="I1275" s="1099"/>
      <c r="J1275" s="22"/>
      <c r="K1275" s="1100"/>
      <c r="L1275" s="726"/>
      <c r="M1275" s="115"/>
      <c r="N1275" s="115"/>
      <c r="O1275" s="115"/>
      <c r="P1275" s="115"/>
      <c r="Q1275" s="115"/>
    </row>
    <row r="1276" spans="1:31">
      <c r="A1276" s="1098"/>
      <c r="B1276" s="1098"/>
      <c r="C1276" s="1099"/>
      <c r="D1276" s="1099"/>
      <c r="E1276" s="1099"/>
      <c r="F1276" s="1099"/>
      <c r="G1276" s="1099"/>
      <c r="H1276" s="1099"/>
      <c r="I1276" s="1099"/>
      <c r="J1276" s="22"/>
      <c r="K1276" s="1100"/>
      <c r="L1276" s="726"/>
      <c r="M1276" s="115"/>
      <c r="N1276" s="115"/>
      <c r="O1276" s="115"/>
      <c r="P1276" s="115"/>
      <c r="Q1276" s="115"/>
    </row>
    <row r="1277" spans="1:31">
      <c r="A1277" s="716"/>
      <c r="B1277" s="716"/>
      <c r="J1277" s="717"/>
      <c r="K1277" s="716"/>
    </row>
    <row r="1278" spans="1:31">
      <c r="A1278" s="71" t="s">
        <v>2355</v>
      </c>
    </row>
    <row r="1279" spans="1:31" s="12" customFormat="1">
      <c r="A1279" s="2092" t="s">
        <v>5</v>
      </c>
      <c r="B1279" s="2092" t="s">
        <v>6</v>
      </c>
      <c r="C1279" s="2094" t="s">
        <v>7</v>
      </c>
      <c r="D1279" s="2096" t="s">
        <v>8</v>
      </c>
      <c r="E1279" s="2092" t="s">
        <v>9</v>
      </c>
      <c r="F1279" s="2098" t="s">
        <v>10</v>
      </c>
      <c r="G1279" s="2098"/>
      <c r="H1279" s="2098"/>
      <c r="I1279" s="2098" t="s">
        <v>11</v>
      </c>
      <c r="J1279" s="2098"/>
      <c r="K1279" s="2098"/>
      <c r="L1279" s="2099" t="s">
        <v>12</v>
      </c>
      <c r="M1279" s="9"/>
      <c r="N1279" s="9"/>
      <c r="O1279" s="9"/>
      <c r="P1279" s="2101" t="s">
        <v>13</v>
      </c>
      <c r="Q1279" s="2265" t="s">
        <v>4740</v>
      </c>
      <c r="R1279" s="2319" t="s">
        <v>4754</v>
      </c>
      <c r="S1279" s="2267" t="s">
        <v>4767</v>
      </c>
      <c r="T1279" s="2268"/>
      <c r="U1279" s="2268"/>
      <c r="V1279" s="2268"/>
      <c r="W1279" s="2269"/>
      <c r="X1279" s="2267" t="s">
        <v>4768</v>
      </c>
      <c r="Y1279" s="2268"/>
      <c r="Z1279" s="2268"/>
      <c r="AA1279" s="2268"/>
      <c r="AB1279" s="2268"/>
      <c r="AC1279" s="2268"/>
      <c r="AD1279" s="2268"/>
      <c r="AE1279" s="2269"/>
    </row>
    <row r="1280" spans="1:31" s="16" customFormat="1" ht="27">
      <c r="A1280" s="2093"/>
      <c r="B1280" s="2093"/>
      <c r="C1280" s="2095"/>
      <c r="D1280" s="2097"/>
      <c r="E1280" s="2093"/>
      <c r="F1280" s="13" t="s">
        <v>14</v>
      </c>
      <c r="G1280" s="13" t="s">
        <v>15</v>
      </c>
      <c r="H1280" s="13" t="s">
        <v>16</v>
      </c>
      <c r="I1280" s="13" t="s">
        <v>14</v>
      </c>
      <c r="J1280" s="13" t="s">
        <v>15</v>
      </c>
      <c r="K1280" s="13" t="s">
        <v>16</v>
      </c>
      <c r="L1280" s="2100"/>
      <c r="M1280" s="14" t="s">
        <v>17</v>
      </c>
      <c r="N1280" s="14" t="s">
        <v>18</v>
      </c>
      <c r="O1280" s="14" t="s">
        <v>19</v>
      </c>
      <c r="P1280" s="2102"/>
      <c r="Q1280" s="2266"/>
      <c r="R1280" s="2320"/>
      <c r="S1280" s="2263" t="s">
        <v>4755</v>
      </c>
      <c r="T1280" s="2263" t="s">
        <v>4756</v>
      </c>
      <c r="U1280" s="2263" t="s">
        <v>4757</v>
      </c>
      <c r="V1280" s="2263" t="s">
        <v>4758</v>
      </c>
      <c r="W1280" s="2263" t="s">
        <v>4759</v>
      </c>
      <c r="X1280" s="2264" t="s">
        <v>4760</v>
      </c>
      <c r="Y1280" s="2264" t="s">
        <v>4761</v>
      </c>
      <c r="Z1280" s="2264" t="s">
        <v>4762</v>
      </c>
      <c r="AA1280" s="2264" t="s">
        <v>4763</v>
      </c>
      <c r="AB1280" s="2264" t="s">
        <v>4764</v>
      </c>
      <c r="AC1280" s="2264" t="s">
        <v>4765</v>
      </c>
      <c r="AD1280" s="2264" t="s">
        <v>4766</v>
      </c>
      <c r="AE1280" s="2264" t="s">
        <v>4755</v>
      </c>
    </row>
    <row r="1281" spans="1:31" s="70" customFormat="1">
      <c r="A1281" s="331">
        <v>1</v>
      </c>
      <c r="B1281" s="331">
        <v>2</v>
      </c>
      <c r="C1281" s="63">
        <v>3</v>
      </c>
      <c r="D1281" s="331">
        <v>4</v>
      </c>
      <c r="E1281" s="331">
        <v>5</v>
      </c>
      <c r="F1281" s="57">
        <v>6</v>
      </c>
      <c r="G1281" s="57">
        <v>7</v>
      </c>
      <c r="H1281" s="331">
        <v>8</v>
      </c>
      <c r="I1281" s="331">
        <v>9</v>
      </c>
      <c r="J1281" s="331">
        <v>10</v>
      </c>
      <c r="K1281" s="331">
        <v>11</v>
      </c>
      <c r="L1281" s="331">
        <v>12</v>
      </c>
      <c r="M1281" s="331">
        <v>9</v>
      </c>
      <c r="N1281" s="331">
        <v>10</v>
      </c>
      <c r="O1281" s="331">
        <v>11</v>
      </c>
      <c r="P1281" s="21">
        <v>13</v>
      </c>
      <c r="Q1281" s="22"/>
      <c r="R1281" s="2321"/>
      <c r="S1281" s="485"/>
    </row>
    <row r="1282" spans="1:31" ht="18">
      <c r="A1282" s="844">
        <v>913</v>
      </c>
      <c r="B1282" s="844">
        <v>1</v>
      </c>
      <c r="C1282" s="844" t="s">
        <v>2356</v>
      </c>
      <c r="D1282" s="844" t="s">
        <v>2357</v>
      </c>
      <c r="E1282" s="844" t="s">
        <v>47</v>
      </c>
      <c r="F1282" s="1101">
        <v>50</v>
      </c>
      <c r="G1282" s="1102">
        <v>885000</v>
      </c>
      <c r="H1282" s="1103">
        <f t="shared" ref="H1282:H1293" si="194">G1282*F1282</f>
        <v>44250000</v>
      </c>
      <c r="I1282" s="891">
        <v>50</v>
      </c>
      <c r="J1282" s="892">
        <v>900000</v>
      </c>
      <c r="K1282" s="682">
        <f>I1282*J1282</f>
        <v>45000000</v>
      </c>
      <c r="L1282" s="682">
        <f t="shared" ref="L1282:L1293" si="195">J1282-G1282</f>
        <v>15000</v>
      </c>
      <c r="M1282" s="1103" t="s">
        <v>2358</v>
      </c>
      <c r="N1282" s="1103" t="s">
        <v>2359</v>
      </c>
      <c r="O1282" s="1103" t="s">
        <v>2029</v>
      </c>
      <c r="P1282" s="400" t="s">
        <v>2360</v>
      </c>
      <c r="Q1282" s="2084">
        <f t="shared" ref="Q1282" si="196">R1282/F1282</f>
        <v>1</v>
      </c>
      <c r="R1282" s="2332">
        <f t="shared" ref="R1282" si="197">+F1282-(S1282+T1282+U1282+W1282+X1282+Y1282+Z1282+AA1282+AB1282+AC1282+AD1282+AE1282)</f>
        <v>50</v>
      </c>
      <c r="S1282" s="2086"/>
      <c r="T1282" s="2086"/>
      <c r="U1282" s="2086"/>
      <c r="V1282" s="2086"/>
      <c r="W1282" s="2087"/>
      <c r="X1282" s="2088"/>
      <c r="Y1282" s="2089"/>
      <c r="Z1282" s="2085"/>
      <c r="AA1282" s="2085"/>
      <c r="AB1282" s="2085"/>
      <c r="AC1282" s="2085"/>
      <c r="AD1282" s="2085"/>
      <c r="AE1282" s="2089"/>
    </row>
    <row r="1283" spans="1:31" ht="63">
      <c r="A1283" s="689">
        <v>914</v>
      </c>
      <c r="B1283" s="689">
        <v>2</v>
      </c>
      <c r="C1283" s="689" t="s">
        <v>2361</v>
      </c>
      <c r="D1283" s="689" t="s">
        <v>2357</v>
      </c>
      <c r="E1283" s="689" t="s">
        <v>47</v>
      </c>
      <c r="F1283" s="1104">
        <v>20</v>
      </c>
      <c r="G1283" s="1105">
        <v>1200000</v>
      </c>
      <c r="H1283" s="899">
        <f t="shared" si="194"/>
        <v>24000000</v>
      </c>
      <c r="I1283" s="896">
        <v>20</v>
      </c>
      <c r="J1283" s="897">
        <v>1200000</v>
      </c>
      <c r="K1283" s="692">
        <f t="shared" ref="K1283:K1293" si="198">I1283*J1283</f>
        <v>24000000</v>
      </c>
      <c r="L1283" s="692">
        <f t="shared" si="195"/>
        <v>0</v>
      </c>
      <c r="M1283" s="899" t="s">
        <v>2358</v>
      </c>
      <c r="N1283" s="899" t="s">
        <v>2362</v>
      </c>
      <c r="O1283" s="899" t="s">
        <v>2029</v>
      </c>
      <c r="P1283" s="403" t="s">
        <v>2360</v>
      </c>
      <c r="Q1283" s="2084">
        <f t="shared" ref="Q1283:Q1293" si="199">R1283/F1283</f>
        <v>1</v>
      </c>
      <c r="R1283" s="2332">
        <f t="shared" ref="R1283:R1293" si="200">+F1283-(S1283+T1283+U1283+W1283+X1283+Y1283+Z1283+AA1283+AB1283+AC1283+AD1283+AE1283)</f>
        <v>20</v>
      </c>
      <c r="S1283" s="2086"/>
      <c r="T1283" s="2086"/>
      <c r="U1283" s="2086"/>
      <c r="V1283" s="2086"/>
      <c r="W1283" s="2087"/>
      <c r="X1283" s="2088"/>
      <c r="Y1283" s="2089"/>
      <c r="Z1283" s="2085"/>
      <c r="AA1283" s="2085"/>
      <c r="AB1283" s="2085"/>
      <c r="AC1283" s="2085"/>
      <c r="AD1283" s="2085"/>
      <c r="AE1283" s="2089"/>
    </row>
    <row r="1284" spans="1:31" ht="18">
      <c r="A1284" s="689">
        <v>915</v>
      </c>
      <c r="B1284" s="689">
        <v>3</v>
      </c>
      <c r="C1284" s="689" t="s">
        <v>2363</v>
      </c>
      <c r="D1284" s="689" t="s">
        <v>897</v>
      </c>
      <c r="E1284" s="689" t="s">
        <v>47</v>
      </c>
      <c r="F1284" s="1104">
        <v>50</v>
      </c>
      <c r="G1284" s="1105">
        <v>1250000</v>
      </c>
      <c r="H1284" s="899">
        <f t="shared" si="194"/>
        <v>62500000</v>
      </c>
      <c r="I1284" s="896">
        <v>50</v>
      </c>
      <c r="J1284" s="897">
        <v>1300000</v>
      </c>
      <c r="K1284" s="692">
        <f t="shared" si="198"/>
        <v>65000000</v>
      </c>
      <c r="L1284" s="692">
        <f t="shared" si="195"/>
        <v>50000</v>
      </c>
      <c r="M1284" s="899" t="s">
        <v>2358</v>
      </c>
      <c r="N1284" s="899" t="s">
        <v>2364</v>
      </c>
      <c r="O1284" s="899" t="s">
        <v>2029</v>
      </c>
      <c r="P1284" s="403" t="s">
        <v>2360</v>
      </c>
      <c r="Q1284" s="2084">
        <f t="shared" si="199"/>
        <v>1</v>
      </c>
      <c r="R1284" s="2332">
        <f t="shared" si="200"/>
        <v>50</v>
      </c>
      <c r="S1284" s="2086"/>
      <c r="T1284" s="2086"/>
      <c r="U1284" s="2086"/>
      <c r="V1284" s="2086"/>
      <c r="W1284" s="2087"/>
      <c r="X1284" s="2088"/>
      <c r="Y1284" s="2089"/>
      <c r="Z1284" s="2085"/>
      <c r="AA1284" s="2085"/>
      <c r="AB1284" s="2085"/>
      <c r="AC1284" s="2085"/>
      <c r="AD1284" s="2085"/>
      <c r="AE1284" s="2089"/>
    </row>
    <row r="1285" spans="1:31" ht="18">
      <c r="A1285" s="689">
        <v>916</v>
      </c>
      <c r="B1285" s="689">
        <v>4</v>
      </c>
      <c r="C1285" s="689" t="s">
        <v>2365</v>
      </c>
      <c r="D1285" s="689" t="s">
        <v>897</v>
      </c>
      <c r="E1285" s="689" t="s">
        <v>47</v>
      </c>
      <c r="F1285" s="1104">
        <v>20</v>
      </c>
      <c r="G1285" s="1105">
        <v>1700000</v>
      </c>
      <c r="H1285" s="899">
        <f t="shared" si="194"/>
        <v>34000000</v>
      </c>
      <c r="I1285" s="896">
        <v>20</v>
      </c>
      <c r="J1285" s="897">
        <v>1700000</v>
      </c>
      <c r="K1285" s="692">
        <f t="shared" si="198"/>
        <v>34000000</v>
      </c>
      <c r="L1285" s="692">
        <f t="shared" si="195"/>
        <v>0</v>
      </c>
      <c r="M1285" s="899" t="s">
        <v>2358</v>
      </c>
      <c r="N1285" s="899" t="s">
        <v>2366</v>
      </c>
      <c r="O1285" s="899" t="s">
        <v>2029</v>
      </c>
      <c r="P1285" s="403" t="s">
        <v>2360</v>
      </c>
      <c r="Q1285" s="2084">
        <f t="shared" si="199"/>
        <v>1</v>
      </c>
      <c r="R1285" s="2332">
        <f t="shared" si="200"/>
        <v>20</v>
      </c>
      <c r="S1285" s="2086"/>
      <c r="T1285" s="2086"/>
      <c r="U1285" s="2086"/>
      <c r="V1285" s="2086"/>
      <c r="W1285" s="2087"/>
      <c r="X1285" s="2088"/>
      <c r="Y1285" s="2089"/>
      <c r="Z1285" s="2085"/>
      <c r="AA1285" s="2085"/>
      <c r="AB1285" s="2085"/>
      <c r="AC1285" s="2085"/>
      <c r="AD1285" s="2085"/>
      <c r="AE1285" s="2089"/>
    </row>
    <row r="1286" spans="1:31" ht="18">
      <c r="A1286" s="689">
        <v>917</v>
      </c>
      <c r="B1286" s="689">
        <v>5</v>
      </c>
      <c r="C1286" s="689" t="s">
        <v>2367</v>
      </c>
      <c r="D1286" s="689" t="s">
        <v>897</v>
      </c>
      <c r="E1286" s="689" t="s">
        <v>47</v>
      </c>
      <c r="F1286" s="1104">
        <v>10</v>
      </c>
      <c r="G1286" s="1105">
        <v>2180000</v>
      </c>
      <c r="H1286" s="899">
        <f t="shared" si="194"/>
        <v>21800000</v>
      </c>
      <c r="I1286" s="896">
        <v>10</v>
      </c>
      <c r="J1286" s="897">
        <v>2200000</v>
      </c>
      <c r="K1286" s="692">
        <f t="shared" si="198"/>
        <v>22000000</v>
      </c>
      <c r="L1286" s="692">
        <f t="shared" si="195"/>
        <v>20000</v>
      </c>
      <c r="M1286" s="899" t="s">
        <v>2358</v>
      </c>
      <c r="N1286" s="899" t="s">
        <v>2368</v>
      </c>
      <c r="O1286" s="899" t="s">
        <v>2029</v>
      </c>
      <c r="P1286" s="403" t="s">
        <v>2360</v>
      </c>
      <c r="Q1286" s="2084">
        <f t="shared" si="199"/>
        <v>1</v>
      </c>
      <c r="R1286" s="2332">
        <f t="shared" si="200"/>
        <v>10</v>
      </c>
      <c r="S1286" s="2086"/>
      <c r="T1286" s="2086"/>
      <c r="U1286" s="2086"/>
      <c r="V1286" s="2086"/>
      <c r="W1286" s="2087"/>
      <c r="X1286" s="2088"/>
      <c r="Y1286" s="2089"/>
      <c r="Z1286" s="2085"/>
      <c r="AA1286" s="2085"/>
      <c r="AB1286" s="2085"/>
      <c r="AC1286" s="2085"/>
      <c r="AD1286" s="2085"/>
      <c r="AE1286" s="2089"/>
    </row>
    <row r="1287" spans="1:31" ht="18">
      <c r="A1287" s="689">
        <v>918</v>
      </c>
      <c r="B1287" s="689">
        <v>6</v>
      </c>
      <c r="C1287" s="689" t="s">
        <v>2369</v>
      </c>
      <c r="D1287" s="689" t="s">
        <v>897</v>
      </c>
      <c r="E1287" s="689" t="s">
        <v>47</v>
      </c>
      <c r="F1287" s="1104">
        <v>20</v>
      </c>
      <c r="G1287" s="1105">
        <v>1380000</v>
      </c>
      <c r="H1287" s="899">
        <f t="shared" si="194"/>
        <v>27600000</v>
      </c>
      <c r="I1287" s="896">
        <v>20</v>
      </c>
      <c r="J1287" s="897">
        <v>1400000</v>
      </c>
      <c r="K1287" s="692">
        <f t="shared" si="198"/>
        <v>28000000</v>
      </c>
      <c r="L1287" s="692">
        <f t="shared" si="195"/>
        <v>20000</v>
      </c>
      <c r="M1287" s="899" t="s">
        <v>2358</v>
      </c>
      <c r="N1287" s="899" t="s">
        <v>2370</v>
      </c>
      <c r="O1287" s="899" t="s">
        <v>2029</v>
      </c>
      <c r="P1287" s="403" t="s">
        <v>2360</v>
      </c>
      <c r="Q1287" s="2084">
        <f t="shared" si="199"/>
        <v>1</v>
      </c>
      <c r="R1287" s="2332">
        <f t="shared" si="200"/>
        <v>20</v>
      </c>
      <c r="S1287" s="2086"/>
      <c r="T1287" s="2086"/>
      <c r="U1287" s="2086"/>
      <c r="V1287" s="2086"/>
      <c r="W1287" s="2087"/>
      <c r="X1287" s="2088"/>
      <c r="Y1287" s="2089"/>
      <c r="Z1287" s="2085"/>
      <c r="AA1287" s="2085"/>
      <c r="AB1287" s="2085"/>
      <c r="AC1287" s="2085"/>
      <c r="AD1287" s="2085"/>
      <c r="AE1287" s="2089"/>
    </row>
    <row r="1288" spans="1:31" ht="18">
      <c r="A1288" s="689">
        <v>919</v>
      </c>
      <c r="B1288" s="689">
        <v>7</v>
      </c>
      <c r="C1288" s="689" t="s">
        <v>2371</v>
      </c>
      <c r="D1288" s="689" t="s">
        <v>2372</v>
      </c>
      <c r="E1288" s="689" t="s">
        <v>47</v>
      </c>
      <c r="F1288" s="1104">
        <v>1000</v>
      </c>
      <c r="G1288" s="1105">
        <v>210000</v>
      </c>
      <c r="H1288" s="899">
        <f t="shared" si="194"/>
        <v>210000000</v>
      </c>
      <c r="I1288" s="896">
        <v>1000</v>
      </c>
      <c r="J1288" s="897">
        <v>250000</v>
      </c>
      <c r="K1288" s="692">
        <f t="shared" si="198"/>
        <v>250000000</v>
      </c>
      <c r="L1288" s="692">
        <f t="shared" si="195"/>
        <v>40000</v>
      </c>
      <c r="M1288" s="899" t="s">
        <v>2358</v>
      </c>
      <c r="N1288" s="899" t="s">
        <v>2373</v>
      </c>
      <c r="O1288" s="899" t="s">
        <v>2029</v>
      </c>
      <c r="P1288" s="403" t="s">
        <v>2360</v>
      </c>
      <c r="Q1288" s="2084">
        <f t="shared" si="199"/>
        <v>1</v>
      </c>
      <c r="R1288" s="2332">
        <f t="shared" si="200"/>
        <v>1000</v>
      </c>
      <c r="S1288" s="2086"/>
      <c r="T1288" s="2086"/>
      <c r="U1288" s="2086"/>
      <c r="V1288" s="2086"/>
      <c r="W1288" s="2087"/>
      <c r="X1288" s="2088"/>
      <c r="Y1288" s="2089"/>
      <c r="Z1288" s="2085"/>
      <c r="AA1288" s="2085"/>
      <c r="AB1288" s="2085"/>
      <c r="AC1288" s="2085"/>
      <c r="AD1288" s="2085"/>
      <c r="AE1288" s="2089"/>
    </row>
    <row r="1289" spans="1:31" ht="18">
      <c r="A1289" s="689">
        <v>920</v>
      </c>
      <c r="B1289" s="689">
        <v>8</v>
      </c>
      <c r="C1289" s="689" t="s">
        <v>2374</v>
      </c>
      <c r="D1289" s="689" t="s">
        <v>897</v>
      </c>
      <c r="E1289" s="689" t="s">
        <v>47</v>
      </c>
      <c r="F1289" s="1104">
        <v>50</v>
      </c>
      <c r="G1289" s="1105">
        <v>1580000</v>
      </c>
      <c r="H1289" s="899">
        <f t="shared" si="194"/>
        <v>79000000</v>
      </c>
      <c r="I1289" s="896">
        <v>50</v>
      </c>
      <c r="J1289" s="897">
        <v>1600000</v>
      </c>
      <c r="K1289" s="692">
        <f t="shared" si="198"/>
        <v>80000000</v>
      </c>
      <c r="L1289" s="692">
        <f t="shared" si="195"/>
        <v>20000</v>
      </c>
      <c r="M1289" s="899" t="s">
        <v>2358</v>
      </c>
      <c r="N1289" s="899" t="s">
        <v>2375</v>
      </c>
      <c r="O1289" s="899" t="s">
        <v>2029</v>
      </c>
      <c r="P1289" s="403" t="s">
        <v>2360</v>
      </c>
      <c r="Q1289" s="2084">
        <f t="shared" si="199"/>
        <v>1</v>
      </c>
      <c r="R1289" s="2332">
        <f t="shared" si="200"/>
        <v>50</v>
      </c>
      <c r="S1289" s="2086"/>
      <c r="T1289" s="2086"/>
      <c r="U1289" s="2086"/>
      <c r="V1289" s="2086"/>
      <c r="W1289" s="2087"/>
      <c r="X1289" s="2088"/>
      <c r="Y1289" s="2089"/>
      <c r="Z1289" s="2085"/>
      <c r="AA1289" s="2085"/>
      <c r="AB1289" s="2085"/>
      <c r="AC1289" s="2085"/>
      <c r="AD1289" s="2085"/>
      <c r="AE1289" s="2089"/>
    </row>
    <row r="1290" spans="1:31" ht="18">
      <c r="A1290" s="689">
        <v>921</v>
      </c>
      <c r="B1290" s="689">
        <v>9</v>
      </c>
      <c r="C1290" s="689" t="s">
        <v>2376</v>
      </c>
      <c r="D1290" s="689" t="s">
        <v>897</v>
      </c>
      <c r="E1290" s="689" t="s">
        <v>47</v>
      </c>
      <c r="F1290" s="1104">
        <v>10</v>
      </c>
      <c r="G1290" s="1105">
        <v>2000000</v>
      </c>
      <c r="H1290" s="899">
        <f t="shared" si="194"/>
        <v>20000000</v>
      </c>
      <c r="I1290" s="896">
        <v>10</v>
      </c>
      <c r="J1290" s="897">
        <v>2000000</v>
      </c>
      <c r="K1290" s="692">
        <f t="shared" si="198"/>
        <v>20000000</v>
      </c>
      <c r="L1290" s="692">
        <f t="shared" si="195"/>
        <v>0</v>
      </c>
      <c r="M1290" s="899" t="s">
        <v>2358</v>
      </c>
      <c r="N1290" s="899" t="s">
        <v>2377</v>
      </c>
      <c r="O1290" s="899" t="s">
        <v>2029</v>
      </c>
      <c r="P1290" s="403" t="s">
        <v>2360</v>
      </c>
      <c r="Q1290" s="2084">
        <f t="shared" si="199"/>
        <v>1</v>
      </c>
      <c r="R1290" s="2332">
        <f t="shared" si="200"/>
        <v>10</v>
      </c>
      <c r="S1290" s="2086"/>
      <c r="T1290" s="2086"/>
      <c r="U1290" s="2086"/>
      <c r="V1290" s="2086"/>
      <c r="W1290" s="2087"/>
      <c r="X1290" s="2088"/>
      <c r="Y1290" s="2089"/>
      <c r="Z1290" s="2085"/>
      <c r="AA1290" s="2085"/>
      <c r="AB1290" s="2085"/>
      <c r="AC1290" s="2085"/>
      <c r="AD1290" s="2085"/>
      <c r="AE1290" s="2089"/>
    </row>
    <row r="1291" spans="1:31" ht="18">
      <c r="A1291" s="689">
        <v>922</v>
      </c>
      <c r="B1291" s="689">
        <v>10</v>
      </c>
      <c r="C1291" s="689" t="s">
        <v>2378</v>
      </c>
      <c r="D1291" s="689" t="s">
        <v>897</v>
      </c>
      <c r="E1291" s="689" t="s">
        <v>47</v>
      </c>
      <c r="F1291" s="1104">
        <v>20</v>
      </c>
      <c r="G1291" s="1105">
        <v>1985000</v>
      </c>
      <c r="H1291" s="899">
        <f t="shared" si="194"/>
        <v>39700000</v>
      </c>
      <c r="I1291" s="896">
        <v>20</v>
      </c>
      <c r="J1291" s="897">
        <v>2000000</v>
      </c>
      <c r="K1291" s="692">
        <f t="shared" si="198"/>
        <v>40000000</v>
      </c>
      <c r="L1291" s="692">
        <f t="shared" si="195"/>
        <v>15000</v>
      </c>
      <c r="M1291" s="899" t="s">
        <v>2358</v>
      </c>
      <c r="N1291" s="899" t="s">
        <v>2379</v>
      </c>
      <c r="O1291" s="899" t="s">
        <v>2029</v>
      </c>
      <c r="P1291" s="403" t="s">
        <v>2360</v>
      </c>
      <c r="Q1291" s="2084">
        <f t="shared" si="199"/>
        <v>1</v>
      </c>
      <c r="R1291" s="2332">
        <f t="shared" si="200"/>
        <v>20</v>
      </c>
      <c r="S1291" s="2086"/>
      <c r="T1291" s="2086"/>
      <c r="U1291" s="2086"/>
      <c r="V1291" s="2086"/>
      <c r="W1291" s="2087"/>
      <c r="X1291" s="2088"/>
      <c r="Y1291" s="2089"/>
      <c r="Z1291" s="2085"/>
      <c r="AA1291" s="2085"/>
      <c r="AB1291" s="2085"/>
      <c r="AC1291" s="2085"/>
      <c r="AD1291" s="2085"/>
      <c r="AE1291" s="2089"/>
    </row>
    <row r="1292" spans="1:31" ht="18">
      <c r="A1292" s="689">
        <v>923</v>
      </c>
      <c r="B1292" s="689">
        <v>11</v>
      </c>
      <c r="C1292" s="689" t="s">
        <v>2380</v>
      </c>
      <c r="D1292" s="689" t="s">
        <v>897</v>
      </c>
      <c r="E1292" s="689" t="s">
        <v>47</v>
      </c>
      <c r="F1292" s="1104">
        <v>10</v>
      </c>
      <c r="G1292" s="1105">
        <v>3450000</v>
      </c>
      <c r="H1292" s="899">
        <f t="shared" si="194"/>
        <v>34500000</v>
      </c>
      <c r="I1292" s="896">
        <v>10</v>
      </c>
      <c r="J1292" s="897">
        <v>3500000</v>
      </c>
      <c r="K1292" s="692">
        <f t="shared" si="198"/>
        <v>35000000</v>
      </c>
      <c r="L1292" s="692">
        <f t="shared" si="195"/>
        <v>50000</v>
      </c>
      <c r="M1292" s="899" t="s">
        <v>2358</v>
      </c>
      <c r="N1292" s="899" t="s">
        <v>2381</v>
      </c>
      <c r="O1292" s="899" t="s">
        <v>2029</v>
      </c>
      <c r="P1292" s="403" t="s">
        <v>2360</v>
      </c>
      <c r="Q1292" s="2084">
        <f t="shared" si="199"/>
        <v>1</v>
      </c>
      <c r="R1292" s="2332">
        <f t="shared" si="200"/>
        <v>10</v>
      </c>
      <c r="S1292" s="2086"/>
      <c r="T1292" s="2086"/>
      <c r="U1292" s="2086"/>
      <c r="V1292" s="2086"/>
      <c r="W1292" s="2087"/>
      <c r="X1292" s="2088"/>
      <c r="Y1292" s="2089"/>
      <c r="Z1292" s="2085"/>
      <c r="AA1292" s="2085"/>
      <c r="AB1292" s="2085"/>
      <c r="AC1292" s="2085"/>
      <c r="AD1292" s="2085"/>
      <c r="AE1292" s="2089"/>
    </row>
    <row r="1293" spans="1:31" ht="18">
      <c r="A1293" s="855">
        <v>924</v>
      </c>
      <c r="B1293" s="855">
        <v>12</v>
      </c>
      <c r="C1293" s="855" t="s">
        <v>2382</v>
      </c>
      <c r="D1293" s="855" t="s">
        <v>2372</v>
      </c>
      <c r="E1293" s="855" t="s">
        <v>47</v>
      </c>
      <c r="F1293" s="1106">
        <v>800</v>
      </c>
      <c r="G1293" s="1107">
        <v>210000</v>
      </c>
      <c r="H1293" s="1108">
        <f t="shared" si="194"/>
        <v>168000000</v>
      </c>
      <c r="I1293" s="976">
        <v>800</v>
      </c>
      <c r="J1293" s="977">
        <v>250000</v>
      </c>
      <c r="K1293" s="738">
        <f t="shared" si="198"/>
        <v>200000000</v>
      </c>
      <c r="L1293" s="738">
        <f t="shared" si="195"/>
        <v>40000</v>
      </c>
      <c r="M1293" s="1108" t="s">
        <v>2358</v>
      </c>
      <c r="N1293" s="1108" t="s">
        <v>2383</v>
      </c>
      <c r="O1293" s="1108" t="s">
        <v>2029</v>
      </c>
      <c r="P1293" s="786" t="s">
        <v>2360</v>
      </c>
      <c r="Q1293" s="2084">
        <f t="shared" si="199"/>
        <v>1</v>
      </c>
      <c r="R1293" s="2332">
        <f t="shared" si="200"/>
        <v>800</v>
      </c>
      <c r="S1293" s="2086"/>
      <c r="T1293" s="2086"/>
      <c r="U1293" s="2086"/>
      <c r="V1293" s="2086"/>
      <c r="W1293" s="2087"/>
      <c r="X1293" s="2088"/>
      <c r="Y1293" s="2089"/>
      <c r="Z1293" s="2085"/>
      <c r="AA1293" s="2085"/>
      <c r="AB1293" s="2085"/>
      <c r="AC1293" s="2085"/>
      <c r="AD1293" s="2085"/>
      <c r="AE1293" s="2089"/>
    </row>
    <row r="1294" spans="1:31">
      <c r="A1294" s="2171" t="s">
        <v>2112</v>
      </c>
      <c r="B1294" s="2171"/>
      <c r="C1294" s="2171"/>
      <c r="D1294" s="2171"/>
      <c r="E1294" s="2171"/>
      <c r="F1294" s="2171"/>
      <c r="G1294" s="2171"/>
      <c r="H1294" s="1109">
        <f>SUM(H1282:H1293)</f>
        <v>765350000</v>
      </c>
      <c r="I1294" s="1109"/>
      <c r="J1294" s="1109"/>
      <c r="K1294" s="1109">
        <f>SUM(K1282:K1293)</f>
        <v>843000000</v>
      </c>
      <c r="L1294" s="1110"/>
      <c r="M1294" s="1111"/>
      <c r="N1294" s="1111"/>
      <c r="O1294" s="1111"/>
      <c r="P1294" s="1111"/>
      <c r="Q1294" s="1112"/>
    </row>
    <row r="1295" spans="1:31">
      <c r="A1295" s="1113"/>
      <c r="B1295" s="1113"/>
      <c r="C1295" s="1113"/>
      <c r="D1295" s="1113"/>
      <c r="E1295" s="1113"/>
      <c r="F1295" s="1113"/>
      <c r="G1295" s="1113"/>
      <c r="H1295" s="1113"/>
      <c r="I1295" s="1113"/>
      <c r="J1295" s="1113"/>
      <c r="K1295" s="1113"/>
      <c r="L1295" s="1114"/>
      <c r="M1295" s="1112"/>
      <c r="N1295" s="1112"/>
      <c r="O1295" s="1112"/>
      <c r="P1295" s="1112"/>
      <c r="Q1295" s="1112"/>
    </row>
    <row r="1296" spans="1:31">
      <c r="A1296" s="1113"/>
      <c r="B1296" s="1113"/>
      <c r="C1296" s="1113"/>
      <c r="D1296" s="1113"/>
      <c r="E1296" s="1113"/>
      <c r="F1296" s="1113"/>
      <c r="G1296" s="1113"/>
      <c r="H1296" s="1113"/>
      <c r="I1296" s="1113"/>
      <c r="J1296" s="1113"/>
      <c r="K1296" s="1113"/>
      <c r="L1296" s="1114"/>
      <c r="M1296" s="1112"/>
      <c r="N1296" s="1112"/>
      <c r="O1296" s="1112"/>
      <c r="P1296" s="1112"/>
      <c r="Q1296" s="1112"/>
    </row>
    <row r="1297" spans="1:31">
      <c r="A1297" s="1113"/>
      <c r="B1297" s="1113"/>
      <c r="C1297" s="1113"/>
      <c r="D1297" s="1113"/>
      <c r="E1297" s="1113"/>
      <c r="F1297" s="1113"/>
      <c r="G1297" s="1113"/>
      <c r="H1297" s="1113"/>
      <c r="I1297" s="1113"/>
      <c r="J1297" s="1113"/>
      <c r="K1297" s="1113"/>
      <c r="L1297" s="1114"/>
      <c r="M1297" s="1112"/>
      <c r="N1297" s="1112"/>
      <c r="O1297" s="1112"/>
      <c r="P1297" s="1112"/>
      <c r="Q1297" s="1112"/>
    </row>
    <row r="1299" spans="1:31">
      <c r="A1299" s="71" t="s">
        <v>2384</v>
      </c>
    </row>
    <row r="1300" spans="1:31" s="12" customFormat="1">
      <c r="A1300" s="2092" t="s">
        <v>5</v>
      </c>
      <c r="B1300" s="2092" t="s">
        <v>6</v>
      </c>
      <c r="C1300" s="2094" t="s">
        <v>7</v>
      </c>
      <c r="D1300" s="2096" t="s">
        <v>8</v>
      </c>
      <c r="E1300" s="2092" t="s">
        <v>9</v>
      </c>
      <c r="F1300" s="2098" t="s">
        <v>10</v>
      </c>
      <c r="G1300" s="2098"/>
      <c r="H1300" s="2098"/>
      <c r="I1300" s="2098" t="s">
        <v>11</v>
      </c>
      <c r="J1300" s="2098"/>
      <c r="K1300" s="2098"/>
      <c r="L1300" s="2099" t="s">
        <v>12</v>
      </c>
      <c r="M1300" s="9"/>
      <c r="N1300" s="9"/>
      <c r="O1300" s="9"/>
      <c r="P1300" s="2101" t="s">
        <v>13</v>
      </c>
      <c r="Q1300" s="2265" t="s">
        <v>4740</v>
      </c>
      <c r="R1300" s="2319" t="s">
        <v>4754</v>
      </c>
      <c r="S1300" s="2267" t="s">
        <v>4767</v>
      </c>
      <c r="T1300" s="2268"/>
      <c r="U1300" s="2268"/>
      <c r="V1300" s="2268"/>
      <c r="W1300" s="2269"/>
      <c r="X1300" s="2267" t="s">
        <v>4768</v>
      </c>
      <c r="Y1300" s="2268"/>
      <c r="Z1300" s="2268"/>
      <c r="AA1300" s="2268"/>
      <c r="AB1300" s="2268"/>
      <c r="AC1300" s="2268"/>
      <c r="AD1300" s="2268"/>
      <c r="AE1300" s="2269"/>
    </row>
    <row r="1301" spans="1:31" s="16" customFormat="1" ht="27">
      <c r="A1301" s="2093"/>
      <c r="B1301" s="2093"/>
      <c r="C1301" s="2095"/>
      <c r="D1301" s="2097"/>
      <c r="E1301" s="2093"/>
      <c r="F1301" s="13" t="s">
        <v>14</v>
      </c>
      <c r="G1301" s="13" t="s">
        <v>15</v>
      </c>
      <c r="H1301" s="13" t="s">
        <v>16</v>
      </c>
      <c r="I1301" s="13" t="s">
        <v>14</v>
      </c>
      <c r="J1301" s="13" t="s">
        <v>15</v>
      </c>
      <c r="K1301" s="13" t="s">
        <v>16</v>
      </c>
      <c r="L1301" s="2100"/>
      <c r="M1301" s="14" t="s">
        <v>17</v>
      </c>
      <c r="N1301" s="14" t="s">
        <v>18</v>
      </c>
      <c r="O1301" s="14" t="s">
        <v>19</v>
      </c>
      <c r="P1301" s="2102"/>
      <c r="Q1301" s="2266"/>
      <c r="R1301" s="2320"/>
      <c r="S1301" s="2263" t="s">
        <v>4755</v>
      </c>
      <c r="T1301" s="2263" t="s">
        <v>4756</v>
      </c>
      <c r="U1301" s="2263" t="s">
        <v>4757</v>
      </c>
      <c r="V1301" s="2263" t="s">
        <v>4758</v>
      </c>
      <c r="W1301" s="2263" t="s">
        <v>4759</v>
      </c>
      <c r="X1301" s="2264" t="s">
        <v>4760</v>
      </c>
      <c r="Y1301" s="2264" t="s">
        <v>4761</v>
      </c>
      <c r="Z1301" s="2264" t="s">
        <v>4762</v>
      </c>
      <c r="AA1301" s="2264" t="s">
        <v>4763</v>
      </c>
      <c r="AB1301" s="2264" t="s">
        <v>4764</v>
      </c>
      <c r="AC1301" s="2264" t="s">
        <v>4765</v>
      </c>
      <c r="AD1301" s="2264" t="s">
        <v>4766</v>
      </c>
      <c r="AE1301" s="2264" t="s">
        <v>4755</v>
      </c>
    </row>
    <row r="1302" spans="1:31" s="70" customFormat="1">
      <c r="A1302" s="331">
        <v>1</v>
      </c>
      <c r="B1302" s="331">
        <v>2</v>
      </c>
      <c r="C1302" s="63">
        <v>3</v>
      </c>
      <c r="D1302" s="331">
        <v>4</v>
      </c>
      <c r="E1302" s="331">
        <v>5</v>
      </c>
      <c r="F1302" s="57">
        <v>6</v>
      </c>
      <c r="G1302" s="57">
        <v>7</v>
      </c>
      <c r="H1302" s="331">
        <v>8</v>
      </c>
      <c r="I1302" s="331">
        <v>9</v>
      </c>
      <c r="J1302" s="331">
        <v>10</v>
      </c>
      <c r="K1302" s="331">
        <v>11</v>
      </c>
      <c r="L1302" s="331">
        <v>12</v>
      </c>
      <c r="M1302" s="331">
        <v>9</v>
      </c>
      <c r="N1302" s="331">
        <v>10</v>
      </c>
      <c r="O1302" s="331">
        <v>11</v>
      </c>
      <c r="P1302" s="21">
        <v>13</v>
      </c>
      <c r="Q1302" s="22"/>
      <c r="R1302" s="2321"/>
      <c r="S1302" s="485"/>
    </row>
    <row r="1303" spans="1:31" ht="18">
      <c r="A1303" s="844">
        <v>925</v>
      </c>
      <c r="B1303" s="844">
        <v>1</v>
      </c>
      <c r="C1303" s="844" t="s">
        <v>2385</v>
      </c>
      <c r="D1303" s="844" t="s">
        <v>897</v>
      </c>
      <c r="E1303" s="844" t="s">
        <v>47</v>
      </c>
      <c r="F1303" s="1101">
        <v>10</v>
      </c>
      <c r="G1303" s="1102">
        <v>1300000</v>
      </c>
      <c r="H1303" s="1103">
        <f t="shared" ref="H1303:H1316" si="201">G1303*F1303</f>
        <v>13000000</v>
      </c>
      <c r="I1303" s="891">
        <v>10</v>
      </c>
      <c r="J1303" s="892">
        <v>1300000</v>
      </c>
      <c r="K1303" s="682">
        <f>I1303*J1303</f>
        <v>13000000</v>
      </c>
      <c r="L1303" s="682">
        <f t="shared" ref="L1303:L1316" si="202">J1303-G1303</f>
        <v>0</v>
      </c>
      <c r="M1303" s="1103" t="s">
        <v>2358</v>
      </c>
      <c r="N1303" s="1103" t="s">
        <v>2386</v>
      </c>
      <c r="O1303" s="1103" t="s">
        <v>2387</v>
      </c>
      <c r="P1303" s="400" t="s">
        <v>2360</v>
      </c>
      <c r="Q1303" s="2084">
        <f t="shared" ref="Q1303" si="203">R1303/F1303</f>
        <v>1</v>
      </c>
      <c r="R1303" s="2332">
        <f t="shared" ref="R1303" si="204">+F1303-(S1303+T1303+U1303+W1303+X1303+Y1303+Z1303+AA1303+AB1303+AC1303+AD1303+AE1303)</f>
        <v>10</v>
      </c>
      <c r="S1303" s="2086"/>
      <c r="T1303" s="2086"/>
      <c r="U1303" s="2086"/>
      <c r="V1303" s="2086"/>
      <c r="W1303" s="2087"/>
      <c r="X1303" s="2088"/>
      <c r="Y1303" s="2089"/>
      <c r="Z1303" s="2085"/>
      <c r="AA1303" s="2085"/>
      <c r="AB1303" s="2085"/>
      <c r="AC1303" s="2085"/>
      <c r="AD1303" s="2085"/>
      <c r="AE1303" s="2089"/>
    </row>
    <row r="1304" spans="1:31" ht="18">
      <c r="A1304" s="689">
        <v>926</v>
      </c>
      <c r="B1304" s="689">
        <v>2</v>
      </c>
      <c r="C1304" s="689" t="s">
        <v>2388</v>
      </c>
      <c r="D1304" s="689" t="s">
        <v>897</v>
      </c>
      <c r="E1304" s="689" t="s">
        <v>47</v>
      </c>
      <c r="F1304" s="1104">
        <v>10</v>
      </c>
      <c r="G1304" s="1105">
        <v>1800000</v>
      </c>
      <c r="H1304" s="899">
        <f t="shared" si="201"/>
        <v>18000000</v>
      </c>
      <c r="I1304" s="896">
        <v>10</v>
      </c>
      <c r="J1304" s="897">
        <v>1800000</v>
      </c>
      <c r="K1304" s="692">
        <f t="shared" ref="K1304:K1316" si="205">I1304*J1304</f>
        <v>18000000</v>
      </c>
      <c r="L1304" s="692">
        <f t="shared" si="202"/>
        <v>0</v>
      </c>
      <c r="M1304" s="899" t="s">
        <v>2358</v>
      </c>
      <c r="N1304" s="899" t="s">
        <v>2389</v>
      </c>
      <c r="O1304" s="899" t="s">
        <v>2387</v>
      </c>
      <c r="P1304" s="403" t="s">
        <v>2360</v>
      </c>
      <c r="Q1304" s="2084">
        <f t="shared" ref="Q1304:Q1316" si="206">R1304/F1304</f>
        <v>1</v>
      </c>
      <c r="R1304" s="2332">
        <f t="shared" ref="R1304:R1316" si="207">+F1304-(S1304+T1304+U1304+W1304+X1304+Y1304+Z1304+AA1304+AB1304+AC1304+AD1304+AE1304)</f>
        <v>10</v>
      </c>
      <c r="S1304" s="2086"/>
      <c r="T1304" s="2086"/>
      <c r="U1304" s="2086"/>
      <c r="V1304" s="2086"/>
      <c r="W1304" s="2087"/>
      <c r="X1304" s="2088"/>
      <c r="Y1304" s="2089"/>
      <c r="Z1304" s="2085"/>
      <c r="AA1304" s="2085"/>
      <c r="AB1304" s="2085"/>
      <c r="AC1304" s="2085"/>
      <c r="AD1304" s="2085"/>
      <c r="AE1304" s="2089"/>
    </row>
    <row r="1305" spans="1:31" ht="18">
      <c r="A1305" s="689">
        <v>927</v>
      </c>
      <c r="B1305" s="689">
        <v>3</v>
      </c>
      <c r="C1305" s="689" t="s">
        <v>2390</v>
      </c>
      <c r="D1305" s="689" t="s">
        <v>2372</v>
      </c>
      <c r="E1305" s="689" t="s">
        <v>47</v>
      </c>
      <c r="F1305" s="1104">
        <v>700</v>
      </c>
      <c r="G1305" s="1105">
        <v>210000</v>
      </c>
      <c r="H1305" s="899">
        <f t="shared" si="201"/>
        <v>147000000</v>
      </c>
      <c r="I1305" s="896">
        <v>700</v>
      </c>
      <c r="J1305" s="897">
        <v>210000</v>
      </c>
      <c r="K1305" s="692">
        <f t="shared" si="205"/>
        <v>147000000</v>
      </c>
      <c r="L1305" s="692">
        <f t="shared" si="202"/>
        <v>0</v>
      </c>
      <c r="M1305" s="899" t="s">
        <v>2358</v>
      </c>
      <c r="N1305" s="899" t="s">
        <v>2391</v>
      </c>
      <c r="O1305" s="899" t="s">
        <v>2387</v>
      </c>
      <c r="P1305" s="403" t="s">
        <v>2360</v>
      </c>
      <c r="Q1305" s="2084">
        <f t="shared" si="206"/>
        <v>1</v>
      </c>
      <c r="R1305" s="2332">
        <f t="shared" si="207"/>
        <v>700</v>
      </c>
      <c r="S1305" s="2086"/>
      <c r="T1305" s="2086"/>
      <c r="U1305" s="2086"/>
      <c r="V1305" s="2086"/>
      <c r="W1305" s="2087"/>
      <c r="X1305" s="2088"/>
      <c r="Y1305" s="2089"/>
      <c r="Z1305" s="2085"/>
      <c r="AA1305" s="2085"/>
      <c r="AB1305" s="2085"/>
      <c r="AC1305" s="2085"/>
      <c r="AD1305" s="2085"/>
      <c r="AE1305" s="2089"/>
    </row>
    <row r="1306" spans="1:31" ht="18">
      <c r="A1306" s="689">
        <v>928</v>
      </c>
      <c r="B1306" s="689">
        <v>4</v>
      </c>
      <c r="C1306" s="689" t="s">
        <v>2392</v>
      </c>
      <c r="D1306" s="689" t="s">
        <v>2393</v>
      </c>
      <c r="E1306" s="689" t="s">
        <v>276</v>
      </c>
      <c r="F1306" s="1104">
        <v>10</v>
      </c>
      <c r="G1306" s="1105">
        <v>5800000</v>
      </c>
      <c r="H1306" s="899">
        <f t="shared" si="201"/>
        <v>58000000</v>
      </c>
      <c r="I1306" s="896">
        <v>10</v>
      </c>
      <c r="J1306" s="897">
        <v>5800000</v>
      </c>
      <c r="K1306" s="692">
        <f t="shared" si="205"/>
        <v>58000000</v>
      </c>
      <c r="L1306" s="692">
        <f t="shared" si="202"/>
        <v>0</v>
      </c>
      <c r="M1306" s="899" t="s">
        <v>2358</v>
      </c>
      <c r="N1306" s="899" t="s">
        <v>2394</v>
      </c>
      <c r="O1306" s="899" t="s">
        <v>2387</v>
      </c>
      <c r="P1306" s="403" t="s">
        <v>2360</v>
      </c>
      <c r="Q1306" s="2084">
        <f t="shared" si="206"/>
        <v>1</v>
      </c>
      <c r="R1306" s="2332">
        <f t="shared" si="207"/>
        <v>10</v>
      </c>
      <c r="S1306" s="2086"/>
      <c r="T1306" s="2086"/>
      <c r="U1306" s="2086"/>
      <c r="V1306" s="2086"/>
      <c r="W1306" s="2087"/>
      <c r="X1306" s="2088"/>
      <c r="Y1306" s="2089"/>
      <c r="Z1306" s="2085"/>
      <c r="AA1306" s="2085"/>
      <c r="AB1306" s="2085"/>
      <c r="AC1306" s="2085"/>
      <c r="AD1306" s="2085"/>
      <c r="AE1306" s="2089"/>
    </row>
    <row r="1307" spans="1:31" ht="18">
      <c r="A1307" s="689">
        <v>929</v>
      </c>
      <c r="B1307" s="689">
        <v>5</v>
      </c>
      <c r="C1307" s="689" t="s">
        <v>2395</v>
      </c>
      <c r="D1307" s="689" t="s">
        <v>2393</v>
      </c>
      <c r="E1307" s="689" t="s">
        <v>276</v>
      </c>
      <c r="F1307" s="1104">
        <v>10</v>
      </c>
      <c r="G1307" s="1105">
        <v>7200000</v>
      </c>
      <c r="H1307" s="899">
        <f t="shared" si="201"/>
        <v>72000000</v>
      </c>
      <c r="I1307" s="896">
        <v>10</v>
      </c>
      <c r="J1307" s="897">
        <v>7200000</v>
      </c>
      <c r="K1307" s="692">
        <f t="shared" si="205"/>
        <v>72000000</v>
      </c>
      <c r="L1307" s="692">
        <f t="shared" si="202"/>
        <v>0</v>
      </c>
      <c r="M1307" s="899" t="s">
        <v>2358</v>
      </c>
      <c r="N1307" s="899" t="s">
        <v>2396</v>
      </c>
      <c r="O1307" s="899" t="s">
        <v>2387</v>
      </c>
      <c r="P1307" s="403" t="s">
        <v>2360</v>
      </c>
      <c r="Q1307" s="2084">
        <f t="shared" si="206"/>
        <v>1</v>
      </c>
      <c r="R1307" s="2332">
        <f t="shared" si="207"/>
        <v>10</v>
      </c>
      <c r="S1307" s="2086"/>
      <c r="T1307" s="2086"/>
      <c r="U1307" s="2086"/>
      <c r="V1307" s="2086"/>
      <c r="W1307" s="2087"/>
      <c r="X1307" s="2088"/>
      <c r="Y1307" s="2089"/>
      <c r="Z1307" s="2085"/>
      <c r="AA1307" s="2085"/>
      <c r="AB1307" s="2085"/>
      <c r="AC1307" s="2085"/>
      <c r="AD1307" s="2085"/>
      <c r="AE1307" s="2089"/>
    </row>
    <row r="1308" spans="1:31" ht="18">
      <c r="A1308" s="689">
        <v>930</v>
      </c>
      <c r="B1308" s="689">
        <v>6</v>
      </c>
      <c r="C1308" s="689" t="s">
        <v>2397</v>
      </c>
      <c r="D1308" s="689" t="s">
        <v>2393</v>
      </c>
      <c r="E1308" s="689" t="s">
        <v>276</v>
      </c>
      <c r="F1308" s="1104">
        <v>10</v>
      </c>
      <c r="G1308" s="1105">
        <v>7900000</v>
      </c>
      <c r="H1308" s="899">
        <f t="shared" si="201"/>
        <v>79000000</v>
      </c>
      <c r="I1308" s="896">
        <v>10</v>
      </c>
      <c r="J1308" s="897">
        <v>7900000</v>
      </c>
      <c r="K1308" s="692">
        <f t="shared" si="205"/>
        <v>79000000</v>
      </c>
      <c r="L1308" s="692">
        <f t="shared" si="202"/>
        <v>0</v>
      </c>
      <c r="M1308" s="899" t="s">
        <v>2358</v>
      </c>
      <c r="N1308" s="899" t="s">
        <v>2398</v>
      </c>
      <c r="O1308" s="899" t="s">
        <v>2387</v>
      </c>
      <c r="P1308" s="403" t="s">
        <v>2360</v>
      </c>
      <c r="Q1308" s="2084">
        <f t="shared" si="206"/>
        <v>1</v>
      </c>
      <c r="R1308" s="2332">
        <f t="shared" si="207"/>
        <v>10</v>
      </c>
      <c r="S1308" s="2086"/>
      <c r="T1308" s="2086"/>
      <c r="U1308" s="2086"/>
      <c r="V1308" s="2086"/>
      <c r="W1308" s="2087"/>
      <c r="X1308" s="2088"/>
      <c r="Y1308" s="2089"/>
      <c r="Z1308" s="2085"/>
      <c r="AA1308" s="2085"/>
      <c r="AB1308" s="2085"/>
      <c r="AC1308" s="2085"/>
      <c r="AD1308" s="2085"/>
      <c r="AE1308" s="2089"/>
    </row>
    <row r="1309" spans="1:31" ht="18">
      <c r="A1309" s="689">
        <v>931</v>
      </c>
      <c r="B1309" s="689">
        <v>7</v>
      </c>
      <c r="C1309" s="689" t="s">
        <v>2399</v>
      </c>
      <c r="D1309" s="689" t="s">
        <v>2393</v>
      </c>
      <c r="E1309" s="689" t="s">
        <v>276</v>
      </c>
      <c r="F1309" s="1104">
        <v>10</v>
      </c>
      <c r="G1309" s="1105">
        <v>12200000</v>
      </c>
      <c r="H1309" s="899">
        <f t="shared" si="201"/>
        <v>122000000</v>
      </c>
      <c r="I1309" s="896">
        <v>10</v>
      </c>
      <c r="J1309" s="897">
        <v>12200000</v>
      </c>
      <c r="K1309" s="692">
        <f t="shared" si="205"/>
        <v>122000000</v>
      </c>
      <c r="L1309" s="692">
        <f t="shared" si="202"/>
        <v>0</v>
      </c>
      <c r="M1309" s="899" t="s">
        <v>2358</v>
      </c>
      <c r="N1309" s="899" t="s">
        <v>2400</v>
      </c>
      <c r="O1309" s="899" t="s">
        <v>2387</v>
      </c>
      <c r="P1309" s="403" t="s">
        <v>2360</v>
      </c>
      <c r="Q1309" s="2084">
        <f t="shared" si="206"/>
        <v>1</v>
      </c>
      <c r="R1309" s="2332">
        <f t="shared" si="207"/>
        <v>10</v>
      </c>
      <c r="S1309" s="2086"/>
      <c r="T1309" s="2086"/>
      <c r="U1309" s="2086"/>
      <c r="V1309" s="2086"/>
      <c r="W1309" s="2087"/>
      <c r="X1309" s="2088"/>
      <c r="Y1309" s="2089"/>
      <c r="Z1309" s="2085"/>
      <c r="AA1309" s="2085"/>
      <c r="AB1309" s="2085"/>
      <c r="AC1309" s="2085"/>
      <c r="AD1309" s="2085"/>
      <c r="AE1309" s="2089"/>
    </row>
    <row r="1310" spans="1:31" ht="18">
      <c r="A1310" s="689">
        <v>932</v>
      </c>
      <c r="B1310" s="689">
        <v>8</v>
      </c>
      <c r="C1310" s="689" t="s">
        <v>2401</v>
      </c>
      <c r="D1310" s="689" t="s">
        <v>2393</v>
      </c>
      <c r="E1310" s="689" t="s">
        <v>276</v>
      </c>
      <c r="F1310" s="1104">
        <v>10</v>
      </c>
      <c r="G1310" s="1105">
        <v>12200000</v>
      </c>
      <c r="H1310" s="899">
        <f t="shared" si="201"/>
        <v>122000000</v>
      </c>
      <c r="I1310" s="896">
        <v>10</v>
      </c>
      <c r="J1310" s="897">
        <v>12200000</v>
      </c>
      <c r="K1310" s="692">
        <f t="shared" si="205"/>
        <v>122000000</v>
      </c>
      <c r="L1310" s="692">
        <f t="shared" si="202"/>
        <v>0</v>
      </c>
      <c r="M1310" s="899" t="s">
        <v>2358</v>
      </c>
      <c r="N1310" s="899" t="s">
        <v>2402</v>
      </c>
      <c r="O1310" s="899" t="s">
        <v>2387</v>
      </c>
      <c r="P1310" s="403" t="s">
        <v>2360</v>
      </c>
      <c r="Q1310" s="2084">
        <f t="shared" si="206"/>
        <v>1</v>
      </c>
      <c r="R1310" s="2332">
        <f t="shared" si="207"/>
        <v>10</v>
      </c>
      <c r="S1310" s="2086"/>
      <c r="T1310" s="2086"/>
      <c r="U1310" s="2086"/>
      <c r="V1310" s="2086"/>
      <c r="W1310" s="2087"/>
      <c r="X1310" s="2088"/>
      <c r="Y1310" s="2089"/>
      <c r="Z1310" s="2085"/>
      <c r="AA1310" s="2085"/>
      <c r="AB1310" s="2085"/>
      <c r="AC1310" s="2085"/>
      <c r="AD1310" s="2085"/>
      <c r="AE1310" s="2089"/>
    </row>
    <row r="1311" spans="1:31" ht="18">
      <c r="A1311" s="689">
        <v>933</v>
      </c>
      <c r="B1311" s="689">
        <v>9</v>
      </c>
      <c r="C1311" s="1034" t="s">
        <v>2403</v>
      </c>
      <c r="D1311" s="689" t="s">
        <v>897</v>
      </c>
      <c r="E1311" s="689" t="s">
        <v>47</v>
      </c>
      <c r="F1311" s="1104">
        <v>120</v>
      </c>
      <c r="G1311" s="1105">
        <v>3500000</v>
      </c>
      <c r="H1311" s="899">
        <f t="shared" si="201"/>
        <v>420000000</v>
      </c>
      <c r="I1311" s="896">
        <v>120</v>
      </c>
      <c r="J1311" s="897">
        <v>3500000</v>
      </c>
      <c r="K1311" s="692">
        <f t="shared" si="205"/>
        <v>420000000</v>
      </c>
      <c r="L1311" s="692">
        <f t="shared" si="202"/>
        <v>0</v>
      </c>
      <c r="M1311" s="899" t="s">
        <v>2404</v>
      </c>
      <c r="N1311" s="899" t="s">
        <v>2405</v>
      </c>
      <c r="O1311" s="899" t="s">
        <v>2387</v>
      </c>
      <c r="P1311" s="403" t="s">
        <v>2360</v>
      </c>
      <c r="Q1311" s="2084">
        <f t="shared" si="206"/>
        <v>1</v>
      </c>
      <c r="R1311" s="2332">
        <f t="shared" si="207"/>
        <v>120</v>
      </c>
      <c r="S1311" s="2086"/>
      <c r="T1311" s="2086"/>
      <c r="U1311" s="2086"/>
      <c r="V1311" s="2086"/>
      <c r="W1311" s="2087"/>
      <c r="X1311" s="2088"/>
      <c r="Y1311" s="2089"/>
      <c r="Z1311" s="2085"/>
      <c r="AA1311" s="2085"/>
      <c r="AB1311" s="2085"/>
      <c r="AC1311" s="2085"/>
      <c r="AD1311" s="2085"/>
      <c r="AE1311" s="2089"/>
    </row>
    <row r="1312" spans="1:31" ht="18">
      <c r="A1312" s="689">
        <v>934</v>
      </c>
      <c r="B1312" s="689">
        <v>10</v>
      </c>
      <c r="C1312" s="1034" t="s">
        <v>2406</v>
      </c>
      <c r="D1312" s="689" t="s">
        <v>897</v>
      </c>
      <c r="E1312" s="689" t="s">
        <v>47</v>
      </c>
      <c r="F1312" s="1104">
        <v>5</v>
      </c>
      <c r="G1312" s="1105">
        <v>3800000</v>
      </c>
      <c r="H1312" s="899">
        <f t="shared" si="201"/>
        <v>19000000</v>
      </c>
      <c r="I1312" s="896">
        <v>5</v>
      </c>
      <c r="J1312" s="897">
        <v>3800000</v>
      </c>
      <c r="K1312" s="692">
        <f t="shared" si="205"/>
        <v>19000000</v>
      </c>
      <c r="L1312" s="692">
        <f t="shared" si="202"/>
        <v>0</v>
      </c>
      <c r="M1312" s="899" t="s">
        <v>2404</v>
      </c>
      <c r="N1312" s="899" t="s">
        <v>2407</v>
      </c>
      <c r="O1312" s="899" t="s">
        <v>2387</v>
      </c>
      <c r="P1312" s="403" t="s">
        <v>2360</v>
      </c>
      <c r="Q1312" s="2084">
        <f t="shared" si="206"/>
        <v>1</v>
      </c>
      <c r="R1312" s="2332">
        <f t="shared" si="207"/>
        <v>5</v>
      </c>
      <c r="S1312" s="2086"/>
      <c r="T1312" s="2086"/>
      <c r="U1312" s="2086"/>
      <c r="V1312" s="2086"/>
      <c r="W1312" s="2087"/>
      <c r="X1312" s="2088"/>
      <c r="Y1312" s="2089"/>
      <c r="Z1312" s="2085"/>
      <c r="AA1312" s="2085"/>
      <c r="AB1312" s="2085"/>
      <c r="AC1312" s="2085"/>
      <c r="AD1312" s="2085"/>
      <c r="AE1312" s="2089"/>
    </row>
    <row r="1313" spans="1:31" ht="18">
      <c r="A1313" s="689">
        <v>935</v>
      </c>
      <c r="B1313" s="689">
        <v>11</v>
      </c>
      <c r="C1313" s="1034" t="s">
        <v>2408</v>
      </c>
      <c r="D1313" s="689" t="s">
        <v>897</v>
      </c>
      <c r="E1313" s="689" t="s">
        <v>47</v>
      </c>
      <c r="F1313" s="1104">
        <v>20</v>
      </c>
      <c r="G1313" s="1105">
        <v>3500000</v>
      </c>
      <c r="H1313" s="899">
        <f t="shared" si="201"/>
        <v>70000000</v>
      </c>
      <c r="I1313" s="896">
        <v>20</v>
      </c>
      <c r="J1313" s="897">
        <v>3500000</v>
      </c>
      <c r="K1313" s="692">
        <f t="shared" si="205"/>
        <v>70000000</v>
      </c>
      <c r="L1313" s="692">
        <f t="shared" si="202"/>
        <v>0</v>
      </c>
      <c r="M1313" s="899" t="s">
        <v>2404</v>
      </c>
      <c r="N1313" s="899" t="s">
        <v>2409</v>
      </c>
      <c r="O1313" s="899" t="s">
        <v>2387</v>
      </c>
      <c r="P1313" s="403" t="s">
        <v>2360</v>
      </c>
      <c r="Q1313" s="2084">
        <f t="shared" si="206"/>
        <v>1</v>
      </c>
      <c r="R1313" s="2332">
        <f t="shared" si="207"/>
        <v>20</v>
      </c>
      <c r="S1313" s="2086"/>
      <c r="T1313" s="2086"/>
      <c r="U1313" s="2086"/>
      <c r="V1313" s="2086"/>
      <c r="W1313" s="2087"/>
      <c r="X1313" s="2088"/>
      <c r="Y1313" s="2089"/>
      <c r="Z1313" s="2085"/>
      <c r="AA1313" s="2085"/>
      <c r="AB1313" s="2085"/>
      <c r="AC1313" s="2085"/>
      <c r="AD1313" s="2085"/>
      <c r="AE1313" s="2089"/>
    </row>
    <row r="1314" spans="1:31" ht="18">
      <c r="A1314" s="689">
        <v>936</v>
      </c>
      <c r="B1314" s="689">
        <v>12</v>
      </c>
      <c r="C1314" s="1034" t="s">
        <v>2410</v>
      </c>
      <c r="D1314" s="689" t="s">
        <v>897</v>
      </c>
      <c r="E1314" s="689" t="s">
        <v>47</v>
      </c>
      <c r="F1314" s="1104">
        <v>2</v>
      </c>
      <c r="G1314" s="1105">
        <v>4500000</v>
      </c>
      <c r="H1314" s="899">
        <f t="shared" si="201"/>
        <v>9000000</v>
      </c>
      <c r="I1314" s="896">
        <v>2</v>
      </c>
      <c r="J1314" s="897">
        <v>4500000</v>
      </c>
      <c r="K1314" s="692">
        <f t="shared" si="205"/>
        <v>9000000</v>
      </c>
      <c r="L1314" s="692">
        <f t="shared" si="202"/>
        <v>0</v>
      </c>
      <c r="M1314" s="899" t="s">
        <v>2404</v>
      </c>
      <c r="N1314" s="899" t="s">
        <v>2411</v>
      </c>
      <c r="O1314" s="899" t="s">
        <v>2387</v>
      </c>
      <c r="P1314" s="403" t="s">
        <v>2360</v>
      </c>
      <c r="Q1314" s="2084">
        <f t="shared" si="206"/>
        <v>1</v>
      </c>
      <c r="R1314" s="2332">
        <f t="shared" si="207"/>
        <v>2</v>
      </c>
      <c r="S1314" s="2086"/>
      <c r="T1314" s="2086"/>
      <c r="U1314" s="2086"/>
      <c r="V1314" s="2086"/>
      <c r="W1314" s="2087"/>
      <c r="X1314" s="2088"/>
      <c r="Y1314" s="2089"/>
      <c r="Z1314" s="2085"/>
      <c r="AA1314" s="2085"/>
      <c r="AB1314" s="2085"/>
      <c r="AC1314" s="2085"/>
      <c r="AD1314" s="2085"/>
      <c r="AE1314" s="2089"/>
    </row>
    <row r="1315" spans="1:31" ht="18">
      <c r="A1315" s="689">
        <v>937</v>
      </c>
      <c r="B1315" s="689">
        <v>13</v>
      </c>
      <c r="C1315" s="1034" t="s">
        <v>2412</v>
      </c>
      <c r="D1315" s="689" t="s">
        <v>897</v>
      </c>
      <c r="E1315" s="689" t="s">
        <v>47</v>
      </c>
      <c r="F1315" s="1104">
        <v>4</v>
      </c>
      <c r="G1315" s="1105">
        <v>15000000</v>
      </c>
      <c r="H1315" s="899">
        <f t="shared" si="201"/>
        <v>60000000</v>
      </c>
      <c r="I1315" s="896">
        <v>4</v>
      </c>
      <c r="J1315" s="897">
        <v>15000000</v>
      </c>
      <c r="K1315" s="692">
        <f t="shared" si="205"/>
        <v>60000000</v>
      </c>
      <c r="L1315" s="692">
        <f t="shared" si="202"/>
        <v>0</v>
      </c>
      <c r="M1315" s="899" t="s">
        <v>2404</v>
      </c>
      <c r="N1315" s="899" t="s">
        <v>2413</v>
      </c>
      <c r="O1315" s="899" t="s">
        <v>2387</v>
      </c>
      <c r="P1315" s="403" t="s">
        <v>2360</v>
      </c>
      <c r="Q1315" s="2084">
        <f t="shared" si="206"/>
        <v>1</v>
      </c>
      <c r="R1315" s="2332">
        <f t="shared" si="207"/>
        <v>4</v>
      </c>
      <c r="S1315" s="2086"/>
      <c r="T1315" s="2086"/>
      <c r="U1315" s="2086"/>
      <c r="V1315" s="2086"/>
      <c r="W1315" s="2087"/>
      <c r="X1315" s="2088"/>
      <c r="Y1315" s="2089"/>
      <c r="Z1315" s="2085"/>
      <c r="AA1315" s="2085"/>
      <c r="AB1315" s="2085"/>
      <c r="AC1315" s="2085"/>
      <c r="AD1315" s="2085"/>
      <c r="AE1315" s="2089"/>
    </row>
    <row r="1316" spans="1:31" ht="18">
      <c r="A1316" s="689">
        <v>938</v>
      </c>
      <c r="B1316" s="689">
        <v>14</v>
      </c>
      <c r="C1316" s="1034" t="s">
        <v>2414</v>
      </c>
      <c r="D1316" s="689" t="s">
        <v>897</v>
      </c>
      <c r="E1316" s="689" t="s">
        <v>47</v>
      </c>
      <c r="F1316" s="1104">
        <v>125</v>
      </c>
      <c r="G1316" s="1105">
        <v>600000</v>
      </c>
      <c r="H1316" s="899">
        <f t="shared" si="201"/>
        <v>75000000</v>
      </c>
      <c r="I1316" s="896">
        <v>125</v>
      </c>
      <c r="J1316" s="897">
        <v>600000</v>
      </c>
      <c r="K1316" s="692">
        <f t="shared" si="205"/>
        <v>75000000</v>
      </c>
      <c r="L1316" s="692">
        <f t="shared" si="202"/>
        <v>0</v>
      </c>
      <c r="M1316" s="899" t="s">
        <v>2404</v>
      </c>
      <c r="N1316" s="899" t="s">
        <v>2415</v>
      </c>
      <c r="O1316" s="899" t="s">
        <v>2387</v>
      </c>
      <c r="P1316" s="403" t="s">
        <v>2360</v>
      </c>
      <c r="Q1316" s="2084">
        <f t="shared" si="206"/>
        <v>1</v>
      </c>
      <c r="R1316" s="2332">
        <f t="shared" si="207"/>
        <v>125</v>
      </c>
      <c r="S1316" s="2086"/>
      <c r="T1316" s="2086"/>
      <c r="U1316" s="2086"/>
      <c r="V1316" s="2086"/>
      <c r="W1316" s="2087"/>
      <c r="X1316" s="2088"/>
      <c r="Y1316" s="2089"/>
      <c r="Z1316" s="2085"/>
      <c r="AA1316" s="2085"/>
      <c r="AB1316" s="2085"/>
      <c r="AC1316" s="2085"/>
      <c r="AD1316" s="2085"/>
      <c r="AE1316" s="2089"/>
    </row>
    <row r="1317" spans="1:31">
      <c r="A1317" s="2172" t="s">
        <v>2112</v>
      </c>
      <c r="B1317" s="2172"/>
      <c r="C1317" s="2172"/>
      <c r="D1317" s="2172"/>
      <c r="E1317" s="2172"/>
      <c r="F1317" s="2172"/>
      <c r="G1317" s="2172"/>
      <c r="H1317" s="2313">
        <f>SUM(H1303:H1316)</f>
        <v>1284000000</v>
      </c>
      <c r="I1317" s="1115"/>
      <c r="J1317" s="1115"/>
      <c r="K1317" s="1115">
        <f>SUM(K1303:K1316)</f>
        <v>1284000000</v>
      </c>
      <c r="L1317" s="1048"/>
      <c r="M1317" s="420"/>
      <c r="N1317" s="420"/>
      <c r="O1317" s="420"/>
      <c r="P1317" s="420"/>
      <c r="Q1317" s="115"/>
    </row>
    <row r="1318" spans="1:31">
      <c r="A1318" s="1116"/>
      <c r="B1318" s="1116"/>
      <c r="C1318" s="1116"/>
      <c r="D1318" s="1116"/>
      <c r="E1318" s="1116"/>
      <c r="F1318" s="1116"/>
      <c r="G1318" s="1116"/>
      <c r="H1318" s="1116"/>
      <c r="I1318" s="1116"/>
      <c r="J1318" s="1116"/>
      <c r="K1318" s="1116"/>
      <c r="L1318" s="726"/>
      <c r="M1318" s="115"/>
      <c r="N1318" s="115"/>
      <c r="O1318" s="115"/>
      <c r="P1318" s="115"/>
      <c r="Q1318" s="115"/>
    </row>
    <row r="1319" spans="1:31">
      <c r="A1319" s="1116"/>
      <c r="B1319" s="1116"/>
      <c r="C1319" s="1116"/>
      <c r="D1319" s="1116"/>
      <c r="E1319" s="1116"/>
      <c r="F1319" s="1116"/>
      <c r="G1319" s="1116"/>
      <c r="H1319" s="1116"/>
      <c r="I1319" s="1116"/>
      <c r="J1319" s="1116"/>
      <c r="K1319" s="1116"/>
      <c r="L1319" s="726"/>
      <c r="M1319" s="115"/>
      <c r="N1319" s="115"/>
      <c r="O1319" s="115"/>
      <c r="P1319" s="115"/>
      <c r="Q1319" s="115"/>
    </row>
    <row r="1320" spans="1:31">
      <c r="A1320" s="1116"/>
      <c r="B1320" s="1116"/>
      <c r="C1320" s="1116"/>
      <c r="D1320" s="1116"/>
      <c r="E1320" s="1116"/>
      <c r="F1320" s="1116"/>
      <c r="G1320" s="1116"/>
      <c r="H1320" s="1116"/>
      <c r="I1320" s="1116"/>
      <c r="J1320" s="1116"/>
      <c r="K1320" s="1116"/>
      <c r="L1320" s="726"/>
      <c r="M1320" s="115"/>
      <c r="N1320" s="115"/>
      <c r="O1320" s="115"/>
      <c r="P1320" s="115"/>
      <c r="Q1320" s="115"/>
    </row>
    <row r="1321" spans="1:31">
      <c r="A1321" s="1116"/>
      <c r="B1321" s="1116"/>
      <c r="C1321" s="1116"/>
      <c r="D1321" s="1116"/>
      <c r="E1321" s="1116"/>
      <c r="F1321" s="1116"/>
      <c r="G1321" s="1116"/>
      <c r="H1321" s="1116"/>
      <c r="I1321" s="1116"/>
      <c r="J1321" s="1116"/>
      <c r="K1321" s="1116"/>
      <c r="L1321" s="726"/>
      <c r="M1321" s="115"/>
      <c r="N1321" s="115"/>
      <c r="O1321" s="115"/>
      <c r="P1321" s="115"/>
      <c r="Q1321" s="115"/>
    </row>
    <row r="1323" spans="1:31">
      <c r="A1323" s="71" t="s">
        <v>2416</v>
      </c>
    </row>
    <row r="1324" spans="1:31" s="12" customFormat="1">
      <c r="A1324" s="2092" t="s">
        <v>5</v>
      </c>
      <c r="B1324" s="2092" t="s">
        <v>6</v>
      </c>
      <c r="C1324" s="2094" t="s">
        <v>7</v>
      </c>
      <c r="D1324" s="2096" t="s">
        <v>8</v>
      </c>
      <c r="E1324" s="2092" t="s">
        <v>9</v>
      </c>
      <c r="F1324" s="2098" t="s">
        <v>10</v>
      </c>
      <c r="G1324" s="2098"/>
      <c r="H1324" s="2098"/>
      <c r="I1324" s="2098" t="s">
        <v>11</v>
      </c>
      <c r="J1324" s="2098"/>
      <c r="K1324" s="2098"/>
      <c r="L1324" s="2099" t="s">
        <v>12</v>
      </c>
      <c r="M1324" s="9"/>
      <c r="N1324" s="9"/>
      <c r="O1324" s="9"/>
      <c r="P1324" s="2101" t="s">
        <v>13</v>
      </c>
      <c r="Q1324" s="2265" t="s">
        <v>4740</v>
      </c>
      <c r="R1324" s="2319" t="s">
        <v>4754</v>
      </c>
      <c r="S1324" s="2267" t="s">
        <v>4767</v>
      </c>
      <c r="T1324" s="2268"/>
      <c r="U1324" s="2268"/>
      <c r="V1324" s="2268"/>
      <c r="W1324" s="2269"/>
      <c r="X1324" s="2267" t="s">
        <v>4768</v>
      </c>
      <c r="Y1324" s="2268"/>
      <c r="Z1324" s="2268"/>
      <c r="AA1324" s="2268"/>
      <c r="AB1324" s="2268"/>
      <c r="AC1324" s="2268"/>
      <c r="AD1324" s="2268"/>
      <c r="AE1324" s="2269"/>
    </row>
    <row r="1325" spans="1:31" s="16" customFormat="1" ht="27">
      <c r="A1325" s="2093"/>
      <c r="B1325" s="2093"/>
      <c r="C1325" s="2095"/>
      <c r="D1325" s="2097"/>
      <c r="E1325" s="2093"/>
      <c r="F1325" s="13" t="s">
        <v>14</v>
      </c>
      <c r="G1325" s="13" t="s">
        <v>15</v>
      </c>
      <c r="H1325" s="13" t="s">
        <v>16</v>
      </c>
      <c r="I1325" s="13" t="s">
        <v>14</v>
      </c>
      <c r="J1325" s="13" t="s">
        <v>15</v>
      </c>
      <c r="K1325" s="13" t="s">
        <v>16</v>
      </c>
      <c r="L1325" s="2100"/>
      <c r="M1325" s="14" t="s">
        <v>17</v>
      </c>
      <c r="N1325" s="14" t="s">
        <v>18</v>
      </c>
      <c r="O1325" s="14" t="s">
        <v>19</v>
      </c>
      <c r="P1325" s="2102"/>
      <c r="Q1325" s="2266"/>
      <c r="R1325" s="2320"/>
      <c r="S1325" s="2263" t="s">
        <v>4755</v>
      </c>
      <c r="T1325" s="2263" t="s">
        <v>4756</v>
      </c>
      <c r="U1325" s="2263" t="s">
        <v>4757</v>
      </c>
      <c r="V1325" s="2263" t="s">
        <v>4758</v>
      </c>
      <c r="W1325" s="2263" t="s">
        <v>4759</v>
      </c>
      <c r="X1325" s="2264" t="s">
        <v>4760</v>
      </c>
      <c r="Y1325" s="2264" t="s">
        <v>4761</v>
      </c>
      <c r="Z1325" s="2264" t="s">
        <v>4762</v>
      </c>
      <c r="AA1325" s="2264" t="s">
        <v>4763</v>
      </c>
      <c r="AB1325" s="2264" t="s">
        <v>4764</v>
      </c>
      <c r="AC1325" s="2264" t="s">
        <v>4765</v>
      </c>
      <c r="AD1325" s="2264" t="s">
        <v>4766</v>
      </c>
      <c r="AE1325" s="2264" t="s">
        <v>4755</v>
      </c>
    </row>
    <row r="1326" spans="1:31" s="70" customFormat="1">
      <c r="A1326" s="331">
        <v>1</v>
      </c>
      <c r="B1326" s="331">
        <v>2</v>
      </c>
      <c r="C1326" s="63">
        <v>3</v>
      </c>
      <c r="D1326" s="331">
        <v>4</v>
      </c>
      <c r="E1326" s="331">
        <v>5</v>
      </c>
      <c r="F1326" s="57">
        <v>6</v>
      </c>
      <c r="G1326" s="57">
        <v>7</v>
      </c>
      <c r="H1326" s="331">
        <v>8</v>
      </c>
      <c r="I1326" s="331">
        <v>9</v>
      </c>
      <c r="J1326" s="331">
        <v>10</v>
      </c>
      <c r="K1326" s="331">
        <v>11</v>
      </c>
      <c r="L1326" s="331">
        <v>12</v>
      </c>
      <c r="M1326" s="331">
        <v>9</v>
      </c>
      <c r="N1326" s="331">
        <v>10</v>
      </c>
      <c r="O1326" s="331">
        <v>11</v>
      </c>
      <c r="P1326" s="21">
        <v>13</v>
      </c>
      <c r="Q1326" s="22"/>
      <c r="R1326" s="2321"/>
      <c r="S1326" s="485"/>
    </row>
    <row r="1327" spans="1:31" ht="18">
      <c r="A1327" s="844">
        <v>939</v>
      </c>
      <c r="B1327" s="844">
        <v>1</v>
      </c>
      <c r="C1327" s="844" t="s">
        <v>2417</v>
      </c>
      <c r="D1327" s="844" t="s">
        <v>897</v>
      </c>
      <c r="E1327" s="844" t="s">
        <v>47</v>
      </c>
      <c r="F1327" s="1101">
        <v>30</v>
      </c>
      <c r="G1327" s="1102">
        <v>3950000</v>
      </c>
      <c r="H1327" s="1103">
        <f>G1327*F1327</f>
        <v>118500000</v>
      </c>
      <c r="I1327" s="891">
        <v>30</v>
      </c>
      <c r="J1327" s="892">
        <v>4000000</v>
      </c>
      <c r="K1327" s="682">
        <f>I1327*J1327</f>
        <v>120000000</v>
      </c>
      <c r="L1327" s="682">
        <f t="shared" ref="L1327:L1353" si="208">J1327-G1327</f>
        <v>50000</v>
      </c>
      <c r="M1327" s="1103" t="s">
        <v>2418</v>
      </c>
      <c r="N1327" s="1103" t="s">
        <v>2419</v>
      </c>
      <c r="O1327" s="1103" t="s">
        <v>2387</v>
      </c>
      <c r="P1327" s="400" t="s">
        <v>2360</v>
      </c>
      <c r="Q1327" s="2084">
        <f t="shared" ref="Q1327" si="209">R1327/F1327</f>
        <v>1</v>
      </c>
      <c r="R1327" s="2332">
        <f t="shared" ref="R1327" si="210">+F1327-(S1327+T1327+U1327+W1327+X1327+Y1327+Z1327+AA1327+AB1327+AC1327+AD1327+AE1327)</f>
        <v>30</v>
      </c>
      <c r="S1327" s="2086"/>
      <c r="T1327" s="2086"/>
      <c r="U1327" s="2086"/>
      <c r="V1327" s="2086"/>
      <c r="W1327" s="2087"/>
      <c r="X1327" s="2088"/>
      <c r="Y1327" s="2089"/>
      <c r="Z1327" s="2085"/>
      <c r="AA1327" s="2085"/>
      <c r="AB1327" s="2085"/>
      <c r="AC1327" s="2085"/>
      <c r="AD1327" s="2085"/>
      <c r="AE1327" s="2089"/>
    </row>
    <row r="1328" spans="1:31" ht="18">
      <c r="A1328" s="689">
        <v>940</v>
      </c>
      <c r="B1328" s="689">
        <v>2</v>
      </c>
      <c r="C1328" s="689" t="s">
        <v>2420</v>
      </c>
      <c r="D1328" s="689" t="s">
        <v>897</v>
      </c>
      <c r="E1328" s="689" t="s">
        <v>47</v>
      </c>
      <c r="F1328" s="1104">
        <v>15</v>
      </c>
      <c r="G1328" s="1105">
        <v>3400000</v>
      </c>
      <c r="H1328" s="899">
        <f t="shared" ref="H1328:H1353" si="211">G1328*F1328</f>
        <v>51000000</v>
      </c>
      <c r="I1328" s="896">
        <v>15</v>
      </c>
      <c r="J1328" s="897">
        <v>3500000</v>
      </c>
      <c r="K1328" s="692">
        <f t="shared" ref="K1328:K1353" si="212">I1328*J1328</f>
        <v>52500000</v>
      </c>
      <c r="L1328" s="692">
        <f t="shared" si="208"/>
        <v>100000</v>
      </c>
      <c r="M1328" s="899" t="s">
        <v>2418</v>
      </c>
      <c r="N1328" s="899" t="s">
        <v>2421</v>
      </c>
      <c r="O1328" s="899" t="s">
        <v>2387</v>
      </c>
      <c r="P1328" s="403" t="s">
        <v>2360</v>
      </c>
      <c r="Q1328" s="2084">
        <f t="shared" ref="Q1328:Q1353" si="213">R1328/F1328</f>
        <v>1</v>
      </c>
      <c r="R1328" s="2332">
        <f t="shared" ref="R1328:R1353" si="214">+F1328-(S1328+T1328+U1328+W1328+X1328+Y1328+Z1328+AA1328+AB1328+AC1328+AD1328+AE1328)</f>
        <v>15</v>
      </c>
      <c r="S1328" s="2086"/>
      <c r="T1328" s="2086"/>
      <c r="U1328" s="2086"/>
      <c r="V1328" s="2086"/>
      <c r="W1328" s="2087"/>
      <c r="X1328" s="2088"/>
      <c r="Y1328" s="2089"/>
      <c r="Z1328" s="2085"/>
      <c r="AA1328" s="2085"/>
      <c r="AB1328" s="2085"/>
      <c r="AC1328" s="2085"/>
      <c r="AD1328" s="2085"/>
      <c r="AE1328" s="2089"/>
    </row>
    <row r="1329" spans="1:31" ht="27.6" customHeight="1">
      <c r="A1329" s="689">
        <v>941</v>
      </c>
      <c r="B1329" s="689">
        <v>3</v>
      </c>
      <c r="C1329" s="689" t="s">
        <v>2422</v>
      </c>
      <c r="D1329" s="689" t="s">
        <v>897</v>
      </c>
      <c r="E1329" s="689" t="s">
        <v>47</v>
      </c>
      <c r="F1329" s="1104">
        <v>15</v>
      </c>
      <c r="G1329" s="1105">
        <v>3950000</v>
      </c>
      <c r="H1329" s="899">
        <f t="shared" si="211"/>
        <v>59250000</v>
      </c>
      <c r="I1329" s="896">
        <v>15</v>
      </c>
      <c r="J1329" s="897">
        <v>4200000</v>
      </c>
      <c r="K1329" s="692">
        <f t="shared" si="212"/>
        <v>63000000</v>
      </c>
      <c r="L1329" s="692">
        <f t="shared" si="208"/>
        <v>250000</v>
      </c>
      <c r="M1329" s="899" t="s">
        <v>2418</v>
      </c>
      <c r="N1329" s="899" t="s">
        <v>2423</v>
      </c>
      <c r="O1329" s="899" t="s">
        <v>2387</v>
      </c>
      <c r="P1329" s="403" t="s">
        <v>2360</v>
      </c>
      <c r="Q1329" s="2084">
        <f t="shared" si="213"/>
        <v>1</v>
      </c>
      <c r="R1329" s="2332">
        <f t="shared" si="214"/>
        <v>15</v>
      </c>
      <c r="S1329" s="2086"/>
      <c r="T1329" s="2086"/>
      <c r="U1329" s="2086"/>
      <c r="V1329" s="2086"/>
      <c r="W1329" s="2087"/>
      <c r="X1329" s="2088"/>
      <c r="Y1329" s="2089"/>
      <c r="Z1329" s="2085"/>
      <c r="AA1329" s="2085"/>
      <c r="AB1329" s="2085"/>
      <c r="AC1329" s="2085"/>
      <c r="AD1329" s="2085"/>
      <c r="AE1329" s="2089"/>
    </row>
    <row r="1330" spans="1:31" ht="27.6" customHeight="1">
      <c r="A1330" s="689">
        <v>942</v>
      </c>
      <c r="B1330" s="689">
        <v>4</v>
      </c>
      <c r="C1330" s="689" t="s">
        <v>2424</v>
      </c>
      <c r="D1330" s="689" t="s">
        <v>897</v>
      </c>
      <c r="E1330" s="689" t="s">
        <v>47</v>
      </c>
      <c r="F1330" s="1104">
        <v>15</v>
      </c>
      <c r="G1330" s="1105">
        <v>3000000</v>
      </c>
      <c r="H1330" s="899">
        <f t="shared" si="211"/>
        <v>45000000</v>
      </c>
      <c r="I1330" s="896">
        <v>15</v>
      </c>
      <c r="J1330" s="897">
        <v>3500000</v>
      </c>
      <c r="K1330" s="692">
        <f t="shared" si="212"/>
        <v>52500000</v>
      </c>
      <c r="L1330" s="692">
        <f t="shared" si="208"/>
        <v>500000</v>
      </c>
      <c r="M1330" s="899" t="s">
        <v>2418</v>
      </c>
      <c r="N1330" s="899" t="s">
        <v>2425</v>
      </c>
      <c r="O1330" s="899" t="s">
        <v>2387</v>
      </c>
      <c r="P1330" s="403" t="s">
        <v>2360</v>
      </c>
      <c r="Q1330" s="2084">
        <f t="shared" si="213"/>
        <v>1</v>
      </c>
      <c r="R1330" s="2332">
        <f t="shared" si="214"/>
        <v>15</v>
      </c>
      <c r="S1330" s="2086"/>
      <c r="T1330" s="2086"/>
      <c r="U1330" s="2086"/>
      <c r="V1330" s="2086"/>
      <c r="W1330" s="2087"/>
      <c r="X1330" s="2088"/>
      <c r="Y1330" s="2089"/>
      <c r="Z1330" s="2085"/>
      <c r="AA1330" s="2085"/>
      <c r="AB1330" s="2085"/>
      <c r="AC1330" s="2085"/>
      <c r="AD1330" s="2085"/>
      <c r="AE1330" s="2089"/>
    </row>
    <row r="1331" spans="1:31" ht="27.6" customHeight="1">
      <c r="A1331" s="689">
        <v>943</v>
      </c>
      <c r="B1331" s="689">
        <v>5</v>
      </c>
      <c r="C1331" s="689" t="s">
        <v>2426</v>
      </c>
      <c r="D1331" s="689" t="s">
        <v>897</v>
      </c>
      <c r="E1331" s="689" t="s">
        <v>47</v>
      </c>
      <c r="F1331" s="1104">
        <v>15</v>
      </c>
      <c r="G1331" s="1105">
        <v>3200000</v>
      </c>
      <c r="H1331" s="899">
        <f t="shared" si="211"/>
        <v>48000000</v>
      </c>
      <c r="I1331" s="896">
        <v>15</v>
      </c>
      <c r="J1331" s="897">
        <v>3500000</v>
      </c>
      <c r="K1331" s="692">
        <f t="shared" si="212"/>
        <v>52500000</v>
      </c>
      <c r="L1331" s="692">
        <f t="shared" si="208"/>
        <v>300000</v>
      </c>
      <c r="M1331" s="899" t="s">
        <v>2418</v>
      </c>
      <c r="N1331" s="899" t="s">
        <v>2427</v>
      </c>
      <c r="O1331" s="899" t="s">
        <v>2387</v>
      </c>
      <c r="P1331" s="403" t="s">
        <v>2360</v>
      </c>
      <c r="Q1331" s="2084">
        <f t="shared" si="213"/>
        <v>1</v>
      </c>
      <c r="R1331" s="2332">
        <f t="shared" si="214"/>
        <v>15</v>
      </c>
      <c r="S1331" s="2086"/>
      <c r="T1331" s="2086"/>
      <c r="U1331" s="2086"/>
      <c r="V1331" s="2086"/>
      <c r="W1331" s="2087"/>
      <c r="X1331" s="2088"/>
      <c r="Y1331" s="2089"/>
      <c r="Z1331" s="2085"/>
      <c r="AA1331" s="2085"/>
      <c r="AB1331" s="2085"/>
      <c r="AC1331" s="2085"/>
      <c r="AD1331" s="2085"/>
      <c r="AE1331" s="2089"/>
    </row>
    <row r="1332" spans="1:31" ht="27.6" customHeight="1">
      <c r="A1332" s="689">
        <v>944</v>
      </c>
      <c r="B1332" s="689">
        <v>6</v>
      </c>
      <c r="C1332" s="689" t="s">
        <v>2428</v>
      </c>
      <c r="D1332" s="689" t="s">
        <v>897</v>
      </c>
      <c r="E1332" s="689" t="s">
        <v>47</v>
      </c>
      <c r="F1332" s="1104">
        <v>20</v>
      </c>
      <c r="G1332" s="1105">
        <v>3500000</v>
      </c>
      <c r="H1332" s="899">
        <f t="shared" si="211"/>
        <v>70000000</v>
      </c>
      <c r="I1332" s="896">
        <v>20</v>
      </c>
      <c r="J1332" s="897">
        <v>3800000</v>
      </c>
      <c r="K1332" s="692">
        <f t="shared" si="212"/>
        <v>76000000</v>
      </c>
      <c r="L1332" s="692">
        <f t="shared" si="208"/>
        <v>300000</v>
      </c>
      <c r="M1332" s="899" t="s">
        <v>2418</v>
      </c>
      <c r="N1332" s="899" t="s">
        <v>2429</v>
      </c>
      <c r="O1332" s="899" t="s">
        <v>2387</v>
      </c>
      <c r="P1332" s="403" t="s">
        <v>2360</v>
      </c>
      <c r="Q1332" s="2084">
        <f t="shared" si="213"/>
        <v>1</v>
      </c>
      <c r="R1332" s="2332">
        <f t="shared" si="214"/>
        <v>20</v>
      </c>
      <c r="S1332" s="2086"/>
      <c r="T1332" s="2086"/>
      <c r="U1332" s="2086"/>
      <c r="V1332" s="2086"/>
      <c r="W1332" s="2087"/>
      <c r="X1332" s="2088"/>
      <c r="Y1332" s="2089"/>
      <c r="Z1332" s="2085"/>
      <c r="AA1332" s="2085"/>
      <c r="AB1332" s="2085"/>
      <c r="AC1332" s="2085"/>
      <c r="AD1332" s="2085"/>
      <c r="AE1332" s="2089"/>
    </row>
    <row r="1333" spans="1:31" ht="27.6" customHeight="1">
      <c r="A1333" s="689">
        <v>945</v>
      </c>
      <c r="B1333" s="689">
        <v>7</v>
      </c>
      <c r="C1333" s="689" t="s">
        <v>2430</v>
      </c>
      <c r="D1333" s="689" t="s">
        <v>897</v>
      </c>
      <c r="E1333" s="689" t="s">
        <v>47</v>
      </c>
      <c r="F1333" s="1104">
        <v>20</v>
      </c>
      <c r="G1333" s="1105">
        <v>5100000</v>
      </c>
      <c r="H1333" s="899">
        <f t="shared" si="211"/>
        <v>102000000</v>
      </c>
      <c r="I1333" s="896">
        <v>20</v>
      </c>
      <c r="J1333" s="897">
        <v>5200000</v>
      </c>
      <c r="K1333" s="692">
        <f t="shared" si="212"/>
        <v>104000000</v>
      </c>
      <c r="L1333" s="692">
        <f t="shared" si="208"/>
        <v>100000</v>
      </c>
      <c r="M1333" s="899" t="s">
        <v>2418</v>
      </c>
      <c r="N1333" s="899" t="s">
        <v>2431</v>
      </c>
      <c r="O1333" s="899" t="s">
        <v>2387</v>
      </c>
      <c r="P1333" s="403" t="s">
        <v>2360</v>
      </c>
      <c r="Q1333" s="2084">
        <f t="shared" si="213"/>
        <v>1</v>
      </c>
      <c r="R1333" s="2332">
        <f t="shared" si="214"/>
        <v>20</v>
      </c>
      <c r="S1333" s="2086"/>
      <c r="T1333" s="2086"/>
      <c r="U1333" s="2086"/>
      <c r="V1333" s="2086"/>
      <c r="W1333" s="2087"/>
      <c r="X1333" s="2088"/>
      <c r="Y1333" s="2089"/>
      <c r="Z1333" s="2085"/>
      <c r="AA1333" s="2085"/>
      <c r="AB1333" s="2085"/>
      <c r="AC1333" s="2085"/>
      <c r="AD1333" s="2085"/>
      <c r="AE1333" s="2089"/>
    </row>
    <row r="1334" spans="1:31" ht="27.6" customHeight="1">
      <c r="A1334" s="689">
        <v>946</v>
      </c>
      <c r="B1334" s="689">
        <v>8</v>
      </c>
      <c r="C1334" s="689" t="s">
        <v>2432</v>
      </c>
      <c r="D1334" s="689" t="s">
        <v>897</v>
      </c>
      <c r="E1334" s="689" t="s">
        <v>47</v>
      </c>
      <c r="F1334" s="1104">
        <v>20</v>
      </c>
      <c r="G1334" s="1105">
        <v>3500000</v>
      </c>
      <c r="H1334" s="899">
        <f t="shared" si="211"/>
        <v>70000000</v>
      </c>
      <c r="I1334" s="896">
        <v>20</v>
      </c>
      <c r="J1334" s="897">
        <v>4800000</v>
      </c>
      <c r="K1334" s="692">
        <f t="shared" si="212"/>
        <v>96000000</v>
      </c>
      <c r="L1334" s="692">
        <f t="shared" si="208"/>
        <v>1300000</v>
      </c>
      <c r="M1334" s="899" t="s">
        <v>2418</v>
      </c>
      <c r="N1334" s="899" t="s">
        <v>2433</v>
      </c>
      <c r="O1334" s="899" t="s">
        <v>2387</v>
      </c>
      <c r="P1334" s="403" t="s">
        <v>2360</v>
      </c>
      <c r="Q1334" s="2084">
        <f t="shared" si="213"/>
        <v>1</v>
      </c>
      <c r="R1334" s="2332">
        <f t="shared" si="214"/>
        <v>20</v>
      </c>
      <c r="S1334" s="2086"/>
      <c r="T1334" s="2086"/>
      <c r="U1334" s="2086"/>
      <c r="V1334" s="2086"/>
      <c r="W1334" s="2087"/>
      <c r="X1334" s="2088"/>
      <c r="Y1334" s="2089"/>
      <c r="Z1334" s="2085"/>
      <c r="AA1334" s="2085"/>
      <c r="AB1334" s="2085"/>
      <c r="AC1334" s="2085"/>
      <c r="AD1334" s="2085"/>
      <c r="AE1334" s="2089"/>
    </row>
    <row r="1335" spans="1:31" ht="27.6" customHeight="1">
      <c r="A1335" s="689">
        <v>947</v>
      </c>
      <c r="B1335" s="689">
        <v>9</v>
      </c>
      <c r="C1335" s="689" t="s">
        <v>2434</v>
      </c>
      <c r="D1335" s="689" t="s">
        <v>897</v>
      </c>
      <c r="E1335" s="689" t="s">
        <v>47</v>
      </c>
      <c r="F1335" s="1104">
        <v>15</v>
      </c>
      <c r="G1335" s="1105">
        <v>5100000</v>
      </c>
      <c r="H1335" s="899">
        <f t="shared" si="211"/>
        <v>76500000</v>
      </c>
      <c r="I1335" s="896">
        <v>15</v>
      </c>
      <c r="J1335" s="897">
        <v>5200000</v>
      </c>
      <c r="K1335" s="692">
        <f t="shared" si="212"/>
        <v>78000000</v>
      </c>
      <c r="L1335" s="692">
        <f t="shared" si="208"/>
        <v>100000</v>
      </c>
      <c r="M1335" s="899" t="s">
        <v>2418</v>
      </c>
      <c r="N1335" s="899" t="s">
        <v>2435</v>
      </c>
      <c r="O1335" s="899" t="s">
        <v>2387</v>
      </c>
      <c r="P1335" s="403" t="s">
        <v>2360</v>
      </c>
      <c r="Q1335" s="2084">
        <f t="shared" si="213"/>
        <v>1</v>
      </c>
      <c r="R1335" s="2332">
        <f t="shared" si="214"/>
        <v>15</v>
      </c>
      <c r="S1335" s="2086"/>
      <c r="T1335" s="2086"/>
      <c r="U1335" s="2086"/>
      <c r="V1335" s="2086"/>
      <c r="W1335" s="2087"/>
      <c r="X1335" s="2088"/>
      <c r="Y1335" s="2089"/>
      <c r="Z1335" s="2085"/>
      <c r="AA1335" s="2085"/>
      <c r="AB1335" s="2085"/>
      <c r="AC1335" s="2085"/>
      <c r="AD1335" s="2085"/>
      <c r="AE1335" s="2089"/>
    </row>
    <row r="1336" spans="1:31" ht="27.6" customHeight="1">
      <c r="A1336" s="689">
        <v>948</v>
      </c>
      <c r="B1336" s="689">
        <v>10</v>
      </c>
      <c r="C1336" s="689" t="s">
        <v>2436</v>
      </c>
      <c r="D1336" s="689" t="s">
        <v>897</v>
      </c>
      <c r="E1336" s="689" t="s">
        <v>47</v>
      </c>
      <c r="F1336" s="1104">
        <v>20</v>
      </c>
      <c r="G1336" s="1105">
        <v>3390000</v>
      </c>
      <c r="H1336" s="899">
        <f t="shared" si="211"/>
        <v>67800000</v>
      </c>
      <c r="I1336" s="896">
        <v>20</v>
      </c>
      <c r="J1336" s="897">
        <v>3400000</v>
      </c>
      <c r="K1336" s="692">
        <f t="shared" si="212"/>
        <v>68000000</v>
      </c>
      <c r="L1336" s="692">
        <f t="shared" si="208"/>
        <v>10000</v>
      </c>
      <c r="M1336" s="899" t="s">
        <v>2418</v>
      </c>
      <c r="N1336" s="899" t="s">
        <v>2437</v>
      </c>
      <c r="O1336" s="899" t="s">
        <v>2387</v>
      </c>
      <c r="P1336" s="403" t="s">
        <v>2360</v>
      </c>
      <c r="Q1336" s="2084">
        <f t="shared" si="213"/>
        <v>1</v>
      </c>
      <c r="R1336" s="2332">
        <f t="shared" si="214"/>
        <v>20</v>
      </c>
      <c r="S1336" s="2086"/>
      <c r="T1336" s="2086"/>
      <c r="U1336" s="2086"/>
      <c r="V1336" s="2086"/>
      <c r="W1336" s="2087"/>
      <c r="X1336" s="2088"/>
      <c r="Y1336" s="2089"/>
      <c r="Z1336" s="2085"/>
      <c r="AA1336" s="2085"/>
      <c r="AB1336" s="2085"/>
      <c r="AC1336" s="2085"/>
      <c r="AD1336" s="2085"/>
      <c r="AE1336" s="2089"/>
    </row>
    <row r="1337" spans="1:31" ht="27.6" customHeight="1">
      <c r="A1337" s="689">
        <v>949</v>
      </c>
      <c r="B1337" s="689">
        <v>11</v>
      </c>
      <c r="C1337" s="689" t="s">
        <v>2438</v>
      </c>
      <c r="D1337" s="689" t="s">
        <v>897</v>
      </c>
      <c r="E1337" s="689" t="s">
        <v>47</v>
      </c>
      <c r="F1337" s="1104">
        <v>10</v>
      </c>
      <c r="G1337" s="1105">
        <v>2980000</v>
      </c>
      <c r="H1337" s="899">
        <f t="shared" si="211"/>
        <v>29800000</v>
      </c>
      <c r="I1337" s="896">
        <v>10</v>
      </c>
      <c r="J1337" s="897">
        <v>3200000</v>
      </c>
      <c r="K1337" s="692">
        <f t="shared" si="212"/>
        <v>32000000</v>
      </c>
      <c r="L1337" s="692">
        <f t="shared" si="208"/>
        <v>220000</v>
      </c>
      <c r="M1337" s="899" t="s">
        <v>2418</v>
      </c>
      <c r="N1337" s="899" t="s">
        <v>2439</v>
      </c>
      <c r="O1337" s="899" t="s">
        <v>2387</v>
      </c>
      <c r="P1337" s="403" t="s">
        <v>2360</v>
      </c>
      <c r="Q1337" s="2084">
        <f t="shared" si="213"/>
        <v>1</v>
      </c>
      <c r="R1337" s="2332">
        <f t="shared" si="214"/>
        <v>10</v>
      </c>
      <c r="S1337" s="2086"/>
      <c r="T1337" s="2086"/>
      <c r="U1337" s="2086"/>
      <c r="V1337" s="2086"/>
      <c r="W1337" s="2087"/>
      <c r="X1337" s="2088"/>
      <c r="Y1337" s="2089"/>
      <c r="Z1337" s="2085"/>
      <c r="AA1337" s="2085"/>
      <c r="AB1337" s="2085"/>
      <c r="AC1337" s="2085"/>
      <c r="AD1337" s="2085"/>
      <c r="AE1337" s="2089"/>
    </row>
    <row r="1338" spans="1:31" s="73" customFormat="1" ht="27.6" customHeight="1">
      <c r="A1338" s="689">
        <v>950</v>
      </c>
      <c r="B1338" s="689">
        <v>12</v>
      </c>
      <c r="C1338" s="689" t="s">
        <v>2440</v>
      </c>
      <c r="D1338" s="689" t="s">
        <v>921</v>
      </c>
      <c r="E1338" s="689" t="s">
        <v>47</v>
      </c>
      <c r="F1338" s="1104">
        <v>2000</v>
      </c>
      <c r="G1338" s="1105">
        <v>380000</v>
      </c>
      <c r="H1338" s="899">
        <f t="shared" si="211"/>
        <v>760000000</v>
      </c>
      <c r="I1338" s="896">
        <v>2000</v>
      </c>
      <c r="J1338" s="897">
        <v>380000</v>
      </c>
      <c r="K1338" s="692">
        <f t="shared" si="212"/>
        <v>760000000</v>
      </c>
      <c r="L1338" s="692">
        <f t="shared" si="208"/>
        <v>0</v>
      </c>
      <c r="M1338" s="899" t="s">
        <v>2418</v>
      </c>
      <c r="N1338" s="899" t="s">
        <v>2441</v>
      </c>
      <c r="O1338" s="899" t="s">
        <v>2387</v>
      </c>
      <c r="P1338" s="403" t="s">
        <v>2360</v>
      </c>
      <c r="Q1338" s="2084">
        <f t="shared" si="213"/>
        <v>1</v>
      </c>
      <c r="R1338" s="2332">
        <f t="shared" si="214"/>
        <v>2000</v>
      </c>
      <c r="S1338" s="2086"/>
      <c r="T1338" s="2086"/>
      <c r="U1338" s="2086"/>
      <c r="V1338" s="2086"/>
      <c r="W1338" s="2087"/>
      <c r="X1338" s="2088"/>
      <c r="Y1338" s="2089"/>
      <c r="Z1338" s="2085"/>
      <c r="AA1338" s="2085"/>
      <c r="AB1338" s="2085"/>
      <c r="AC1338" s="2085"/>
      <c r="AD1338" s="2085"/>
      <c r="AE1338" s="2089"/>
    </row>
    <row r="1339" spans="1:31" s="73" customFormat="1" ht="27.6" customHeight="1">
      <c r="A1339" s="689">
        <v>951</v>
      </c>
      <c r="B1339" s="689">
        <v>13</v>
      </c>
      <c r="C1339" s="689" t="s">
        <v>2442</v>
      </c>
      <c r="D1339" s="689" t="s">
        <v>897</v>
      </c>
      <c r="E1339" s="689" t="s">
        <v>47</v>
      </c>
      <c r="F1339" s="1104">
        <v>20</v>
      </c>
      <c r="G1339" s="1105">
        <v>760000</v>
      </c>
      <c r="H1339" s="899">
        <f t="shared" si="211"/>
        <v>15200000</v>
      </c>
      <c r="I1339" s="896">
        <v>20</v>
      </c>
      <c r="J1339" s="897">
        <v>800000</v>
      </c>
      <c r="K1339" s="692">
        <f t="shared" si="212"/>
        <v>16000000</v>
      </c>
      <c r="L1339" s="692">
        <f t="shared" si="208"/>
        <v>40000</v>
      </c>
      <c r="M1339" s="899" t="s">
        <v>2418</v>
      </c>
      <c r="N1339" s="899" t="s">
        <v>2443</v>
      </c>
      <c r="O1339" s="899" t="s">
        <v>2387</v>
      </c>
      <c r="P1339" s="403" t="s">
        <v>2360</v>
      </c>
      <c r="Q1339" s="2084">
        <f t="shared" si="213"/>
        <v>1</v>
      </c>
      <c r="R1339" s="2332">
        <f t="shared" si="214"/>
        <v>20</v>
      </c>
      <c r="S1339" s="2086"/>
      <c r="T1339" s="2086"/>
      <c r="U1339" s="2086"/>
      <c r="V1339" s="2086"/>
      <c r="W1339" s="2087"/>
      <c r="X1339" s="2088"/>
      <c r="Y1339" s="2089"/>
      <c r="Z1339" s="2085"/>
      <c r="AA1339" s="2085"/>
      <c r="AB1339" s="2085"/>
      <c r="AC1339" s="2085"/>
      <c r="AD1339" s="2085"/>
      <c r="AE1339" s="2089"/>
    </row>
    <row r="1340" spans="1:31" s="73" customFormat="1" ht="27.6" customHeight="1">
      <c r="A1340" s="689">
        <v>952</v>
      </c>
      <c r="B1340" s="689">
        <v>14</v>
      </c>
      <c r="C1340" s="689" t="s">
        <v>2444</v>
      </c>
      <c r="D1340" s="689" t="s">
        <v>897</v>
      </c>
      <c r="E1340" s="689" t="s">
        <v>47</v>
      </c>
      <c r="F1340" s="1104">
        <v>20</v>
      </c>
      <c r="G1340" s="1105">
        <v>1050000</v>
      </c>
      <c r="H1340" s="899">
        <f t="shared" si="211"/>
        <v>21000000</v>
      </c>
      <c r="I1340" s="896">
        <v>20</v>
      </c>
      <c r="J1340" s="897">
        <v>1110000</v>
      </c>
      <c r="K1340" s="692">
        <f t="shared" si="212"/>
        <v>22200000</v>
      </c>
      <c r="L1340" s="692">
        <f t="shared" si="208"/>
        <v>60000</v>
      </c>
      <c r="M1340" s="899" t="s">
        <v>2418</v>
      </c>
      <c r="N1340" s="899" t="s">
        <v>2445</v>
      </c>
      <c r="O1340" s="899" t="s">
        <v>2387</v>
      </c>
      <c r="P1340" s="403" t="s">
        <v>2360</v>
      </c>
      <c r="Q1340" s="2084">
        <f t="shared" si="213"/>
        <v>1</v>
      </c>
      <c r="R1340" s="2332">
        <f t="shared" si="214"/>
        <v>20</v>
      </c>
      <c r="S1340" s="2086"/>
      <c r="T1340" s="2086"/>
      <c r="U1340" s="2086"/>
      <c r="V1340" s="2086"/>
      <c r="W1340" s="2087"/>
      <c r="X1340" s="2088"/>
      <c r="Y1340" s="2089"/>
      <c r="Z1340" s="2085"/>
      <c r="AA1340" s="2085"/>
      <c r="AB1340" s="2085"/>
      <c r="AC1340" s="2085"/>
      <c r="AD1340" s="2085"/>
      <c r="AE1340" s="2089"/>
    </row>
    <row r="1341" spans="1:31" s="73" customFormat="1" ht="27.6" customHeight="1">
      <c r="A1341" s="689">
        <v>953</v>
      </c>
      <c r="B1341" s="689">
        <v>15</v>
      </c>
      <c r="C1341" s="689" t="s">
        <v>2446</v>
      </c>
      <c r="D1341" s="689" t="s">
        <v>897</v>
      </c>
      <c r="E1341" s="689" t="s">
        <v>47</v>
      </c>
      <c r="F1341" s="1104">
        <v>20</v>
      </c>
      <c r="G1341" s="1105">
        <v>1200000</v>
      </c>
      <c r="H1341" s="899">
        <f t="shared" si="211"/>
        <v>24000000</v>
      </c>
      <c r="I1341" s="896">
        <v>20</v>
      </c>
      <c r="J1341" s="897">
        <v>1400000</v>
      </c>
      <c r="K1341" s="692">
        <f t="shared" si="212"/>
        <v>28000000</v>
      </c>
      <c r="L1341" s="692">
        <f t="shared" si="208"/>
        <v>200000</v>
      </c>
      <c r="M1341" s="899" t="s">
        <v>2418</v>
      </c>
      <c r="N1341" s="899" t="s">
        <v>2447</v>
      </c>
      <c r="O1341" s="899" t="s">
        <v>2387</v>
      </c>
      <c r="P1341" s="403" t="s">
        <v>2360</v>
      </c>
      <c r="Q1341" s="2084">
        <f t="shared" si="213"/>
        <v>1</v>
      </c>
      <c r="R1341" s="2332">
        <f t="shared" si="214"/>
        <v>20</v>
      </c>
      <c r="S1341" s="2086"/>
      <c r="T1341" s="2086"/>
      <c r="U1341" s="2086"/>
      <c r="V1341" s="2086"/>
      <c r="W1341" s="2087"/>
      <c r="X1341" s="2088"/>
      <c r="Y1341" s="2089"/>
      <c r="Z1341" s="2085"/>
      <c r="AA1341" s="2085"/>
      <c r="AB1341" s="2085"/>
      <c r="AC1341" s="2085"/>
      <c r="AD1341" s="2085"/>
      <c r="AE1341" s="2089"/>
    </row>
    <row r="1342" spans="1:31" s="73" customFormat="1" ht="27.6" customHeight="1">
      <c r="A1342" s="689">
        <v>954</v>
      </c>
      <c r="B1342" s="689">
        <v>16</v>
      </c>
      <c r="C1342" s="689" t="s">
        <v>2448</v>
      </c>
      <c r="D1342" s="689" t="s">
        <v>897</v>
      </c>
      <c r="E1342" s="689" t="s">
        <v>47</v>
      </c>
      <c r="F1342" s="1104">
        <v>20</v>
      </c>
      <c r="G1342" s="1105">
        <v>700000</v>
      </c>
      <c r="H1342" s="899">
        <f t="shared" si="211"/>
        <v>14000000</v>
      </c>
      <c r="I1342" s="896">
        <v>20</v>
      </c>
      <c r="J1342" s="897">
        <v>885000</v>
      </c>
      <c r="K1342" s="692">
        <f t="shared" si="212"/>
        <v>17700000</v>
      </c>
      <c r="L1342" s="692">
        <f t="shared" si="208"/>
        <v>185000</v>
      </c>
      <c r="M1342" s="899" t="s">
        <v>2418</v>
      </c>
      <c r="N1342" s="899" t="s">
        <v>2449</v>
      </c>
      <c r="O1342" s="899" t="s">
        <v>2387</v>
      </c>
      <c r="P1342" s="403" t="s">
        <v>2360</v>
      </c>
      <c r="Q1342" s="2084">
        <f t="shared" si="213"/>
        <v>1</v>
      </c>
      <c r="R1342" s="2332">
        <f t="shared" si="214"/>
        <v>20</v>
      </c>
      <c r="S1342" s="2086"/>
      <c r="T1342" s="2086"/>
      <c r="U1342" s="2086"/>
      <c r="V1342" s="2086"/>
      <c r="W1342" s="2087"/>
      <c r="X1342" s="2088"/>
      <c r="Y1342" s="2089"/>
      <c r="Z1342" s="2085"/>
      <c r="AA1342" s="2085"/>
      <c r="AB1342" s="2085"/>
      <c r="AC1342" s="2085"/>
      <c r="AD1342" s="2085"/>
      <c r="AE1342" s="2089"/>
    </row>
    <row r="1343" spans="1:31" s="73" customFormat="1" ht="27.6" customHeight="1">
      <c r="A1343" s="689">
        <v>955</v>
      </c>
      <c r="B1343" s="689">
        <v>17</v>
      </c>
      <c r="C1343" s="689" t="s">
        <v>2450</v>
      </c>
      <c r="D1343" s="689" t="s">
        <v>897</v>
      </c>
      <c r="E1343" s="689" t="s">
        <v>47</v>
      </c>
      <c r="F1343" s="1104">
        <v>20</v>
      </c>
      <c r="G1343" s="1105">
        <v>1350000</v>
      </c>
      <c r="H1343" s="899">
        <f t="shared" si="211"/>
        <v>27000000</v>
      </c>
      <c r="I1343" s="896">
        <v>20</v>
      </c>
      <c r="J1343" s="897">
        <v>1500000</v>
      </c>
      <c r="K1343" s="692">
        <f t="shared" si="212"/>
        <v>30000000</v>
      </c>
      <c r="L1343" s="692">
        <f t="shared" si="208"/>
        <v>150000</v>
      </c>
      <c r="M1343" s="899" t="s">
        <v>2418</v>
      </c>
      <c r="N1343" s="899" t="s">
        <v>2451</v>
      </c>
      <c r="O1343" s="899" t="s">
        <v>2387</v>
      </c>
      <c r="P1343" s="403" t="s">
        <v>2360</v>
      </c>
      <c r="Q1343" s="2084">
        <f t="shared" si="213"/>
        <v>1</v>
      </c>
      <c r="R1343" s="2332">
        <f t="shared" si="214"/>
        <v>20</v>
      </c>
      <c r="S1343" s="2086"/>
      <c r="T1343" s="2086"/>
      <c r="U1343" s="2086"/>
      <c r="V1343" s="2086"/>
      <c r="W1343" s="2087"/>
      <c r="X1343" s="2088"/>
      <c r="Y1343" s="2089"/>
      <c r="Z1343" s="2085"/>
      <c r="AA1343" s="2085"/>
      <c r="AB1343" s="2085"/>
      <c r="AC1343" s="2085"/>
      <c r="AD1343" s="2085"/>
      <c r="AE1343" s="2089"/>
    </row>
    <row r="1344" spans="1:31" s="73" customFormat="1" ht="27.6" customHeight="1">
      <c r="A1344" s="689">
        <v>956</v>
      </c>
      <c r="B1344" s="689">
        <v>18</v>
      </c>
      <c r="C1344" s="689" t="s">
        <v>2452</v>
      </c>
      <c r="D1344" s="689" t="s">
        <v>897</v>
      </c>
      <c r="E1344" s="689" t="s">
        <v>47</v>
      </c>
      <c r="F1344" s="1104">
        <v>30</v>
      </c>
      <c r="G1344" s="1105">
        <v>1250000</v>
      </c>
      <c r="H1344" s="899">
        <f t="shared" si="211"/>
        <v>37500000</v>
      </c>
      <c r="I1344" s="896">
        <v>30</v>
      </c>
      <c r="J1344" s="897">
        <v>1300000</v>
      </c>
      <c r="K1344" s="692">
        <f t="shared" si="212"/>
        <v>39000000</v>
      </c>
      <c r="L1344" s="692">
        <f t="shared" si="208"/>
        <v>50000</v>
      </c>
      <c r="M1344" s="899" t="s">
        <v>2418</v>
      </c>
      <c r="N1344" s="899" t="s">
        <v>2453</v>
      </c>
      <c r="O1344" s="899" t="s">
        <v>2387</v>
      </c>
      <c r="P1344" s="403" t="s">
        <v>2360</v>
      </c>
      <c r="Q1344" s="2084">
        <f t="shared" si="213"/>
        <v>1</v>
      </c>
      <c r="R1344" s="2332">
        <f t="shared" si="214"/>
        <v>30</v>
      </c>
      <c r="S1344" s="2086"/>
      <c r="T1344" s="2086"/>
      <c r="U1344" s="2086"/>
      <c r="V1344" s="2086"/>
      <c r="W1344" s="2087"/>
      <c r="X1344" s="2088"/>
      <c r="Y1344" s="2089"/>
      <c r="Z1344" s="2085"/>
      <c r="AA1344" s="2085"/>
      <c r="AB1344" s="2085"/>
      <c r="AC1344" s="2085"/>
      <c r="AD1344" s="2085"/>
      <c r="AE1344" s="2089"/>
    </row>
    <row r="1345" spans="1:31" s="73" customFormat="1" ht="27.6" customHeight="1">
      <c r="A1345" s="689">
        <v>957</v>
      </c>
      <c r="B1345" s="689">
        <v>19</v>
      </c>
      <c r="C1345" s="689" t="s">
        <v>2454</v>
      </c>
      <c r="D1345" s="689" t="s">
        <v>897</v>
      </c>
      <c r="E1345" s="689" t="s">
        <v>47</v>
      </c>
      <c r="F1345" s="1104">
        <v>15</v>
      </c>
      <c r="G1345" s="1105">
        <v>1200000</v>
      </c>
      <c r="H1345" s="899">
        <f t="shared" si="211"/>
        <v>18000000</v>
      </c>
      <c r="I1345" s="896">
        <v>15</v>
      </c>
      <c r="J1345" s="897">
        <v>1235000</v>
      </c>
      <c r="K1345" s="692">
        <f t="shared" si="212"/>
        <v>18525000</v>
      </c>
      <c r="L1345" s="692">
        <f t="shared" si="208"/>
        <v>35000</v>
      </c>
      <c r="M1345" s="899" t="s">
        <v>2418</v>
      </c>
      <c r="N1345" s="899" t="s">
        <v>2455</v>
      </c>
      <c r="O1345" s="899" t="s">
        <v>2387</v>
      </c>
      <c r="P1345" s="403" t="s">
        <v>2360</v>
      </c>
      <c r="Q1345" s="2084">
        <f t="shared" si="213"/>
        <v>1</v>
      </c>
      <c r="R1345" s="2332">
        <f t="shared" si="214"/>
        <v>15</v>
      </c>
      <c r="S1345" s="2086"/>
      <c r="T1345" s="2086"/>
      <c r="U1345" s="2086"/>
      <c r="V1345" s="2086"/>
      <c r="W1345" s="2087"/>
      <c r="X1345" s="2088"/>
      <c r="Y1345" s="2089"/>
      <c r="Z1345" s="2085"/>
      <c r="AA1345" s="2085"/>
      <c r="AB1345" s="2085"/>
      <c r="AC1345" s="2085"/>
      <c r="AD1345" s="2085"/>
      <c r="AE1345" s="2089"/>
    </row>
    <row r="1346" spans="1:31" s="73" customFormat="1" ht="27.6" customHeight="1">
      <c r="A1346" s="689">
        <v>958</v>
      </c>
      <c r="B1346" s="689">
        <v>20</v>
      </c>
      <c r="C1346" s="689" t="s">
        <v>2456</v>
      </c>
      <c r="D1346" s="689" t="s">
        <v>897</v>
      </c>
      <c r="E1346" s="689" t="s">
        <v>47</v>
      </c>
      <c r="F1346" s="1104">
        <v>15</v>
      </c>
      <c r="G1346" s="1105">
        <v>1450000</v>
      </c>
      <c r="H1346" s="899">
        <f t="shared" si="211"/>
        <v>21750000</v>
      </c>
      <c r="I1346" s="896">
        <v>15</v>
      </c>
      <c r="J1346" s="897">
        <v>1450000</v>
      </c>
      <c r="K1346" s="692">
        <f t="shared" si="212"/>
        <v>21750000</v>
      </c>
      <c r="L1346" s="692">
        <f t="shared" si="208"/>
        <v>0</v>
      </c>
      <c r="M1346" s="899" t="s">
        <v>2418</v>
      </c>
      <c r="N1346" s="899" t="s">
        <v>2449</v>
      </c>
      <c r="O1346" s="899" t="s">
        <v>2387</v>
      </c>
      <c r="P1346" s="403" t="s">
        <v>2360</v>
      </c>
      <c r="Q1346" s="2084">
        <f t="shared" si="213"/>
        <v>1</v>
      </c>
      <c r="R1346" s="2332">
        <f t="shared" si="214"/>
        <v>15</v>
      </c>
      <c r="S1346" s="2086"/>
      <c r="T1346" s="2086"/>
      <c r="U1346" s="2086"/>
      <c r="V1346" s="2086"/>
      <c r="W1346" s="2087"/>
      <c r="X1346" s="2088"/>
      <c r="Y1346" s="2089"/>
      <c r="Z1346" s="2085"/>
      <c r="AA1346" s="2085"/>
      <c r="AB1346" s="2085"/>
      <c r="AC1346" s="2085"/>
      <c r="AD1346" s="2085"/>
      <c r="AE1346" s="2089"/>
    </row>
    <row r="1347" spans="1:31" s="73" customFormat="1" ht="27.6" customHeight="1">
      <c r="A1347" s="689">
        <v>959</v>
      </c>
      <c r="B1347" s="689">
        <v>21</v>
      </c>
      <c r="C1347" s="689" t="s">
        <v>2457</v>
      </c>
      <c r="D1347" s="689" t="s">
        <v>897</v>
      </c>
      <c r="E1347" s="689" t="s">
        <v>47</v>
      </c>
      <c r="F1347" s="1104">
        <v>10</v>
      </c>
      <c r="G1347" s="1105">
        <v>1700000</v>
      </c>
      <c r="H1347" s="899">
        <f t="shared" si="211"/>
        <v>17000000</v>
      </c>
      <c r="I1347" s="896">
        <v>10</v>
      </c>
      <c r="J1347" s="897">
        <v>1710000</v>
      </c>
      <c r="K1347" s="692">
        <f t="shared" si="212"/>
        <v>17100000</v>
      </c>
      <c r="L1347" s="692">
        <f t="shared" si="208"/>
        <v>10000</v>
      </c>
      <c r="M1347" s="899" t="s">
        <v>2418</v>
      </c>
      <c r="N1347" s="899" t="s">
        <v>2458</v>
      </c>
      <c r="O1347" s="899" t="s">
        <v>2387</v>
      </c>
      <c r="P1347" s="403" t="s">
        <v>2360</v>
      </c>
      <c r="Q1347" s="2084">
        <f t="shared" si="213"/>
        <v>1</v>
      </c>
      <c r="R1347" s="2332">
        <f t="shared" si="214"/>
        <v>10</v>
      </c>
      <c r="S1347" s="2086"/>
      <c r="T1347" s="2086"/>
      <c r="U1347" s="2086"/>
      <c r="V1347" s="2086"/>
      <c r="W1347" s="2087"/>
      <c r="X1347" s="2088"/>
      <c r="Y1347" s="2089"/>
      <c r="Z1347" s="2085"/>
      <c r="AA1347" s="2085"/>
      <c r="AB1347" s="2085"/>
      <c r="AC1347" s="2085"/>
      <c r="AD1347" s="2085"/>
      <c r="AE1347" s="2089"/>
    </row>
    <row r="1348" spans="1:31" s="73" customFormat="1" ht="27.6" customHeight="1">
      <c r="A1348" s="689">
        <v>960</v>
      </c>
      <c r="B1348" s="689">
        <v>22</v>
      </c>
      <c r="C1348" s="689" t="s">
        <v>2459</v>
      </c>
      <c r="D1348" s="689" t="s">
        <v>921</v>
      </c>
      <c r="E1348" s="689" t="s">
        <v>47</v>
      </c>
      <c r="F1348" s="1104">
        <v>2000</v>
      </c>
      <c r="G1348" s="1105">
        <v>88000</v>
      </c>
      <c r="H1348" s="899">
        <f t="shared" si="211"/>
        <v>176000000</v>
      </c>
      <c r="I1348" s="896">
        <v>2000</v>
      </c>
      <c r="J1348" s="897">
        <v>90000</v>
      </c>
      <c r="K1348" s="692">
        <f t="shared" si="212"/>
        <v>180000000</v>
      </c>
      <c r="L1348" s="692">
        <f t="shared" si="208"/>
        <v>2000</v>
      </c>
      <c r="M1348" s="899" t="s">
        <v>2418</v>
      </c>
      <c r="N1348" s="899" t="s">
        <v>2460</v>
      </c>
      <c r="O1348" s="899" t="s">
        <v>2387</v>
      </c>
      <c r="P1348" s="403" t="s">
        <v>2360</v>
      </c>
      <c r="Q1348" s="2084">
        <f t="shared" si="213"/>
        <v>1</v>
      </c>
      <c r="R1348" s="2332">
        <f t="shared" si="214"/>
        <v>2000</v>
      </c>
      <c r="S1348" s="2086"/>
      <c r="T1348" s="2086"/>
      <c r="U1348" s="2086"/>
      <c r="V1348" s="2086"/>
      <c r="W1348" s="2087"/>
      <c r="X1348" s="2088"/>
      <c r="Y1348" s="2089"/>
      <c r="Z1348" s="2085"/>
      <c r="AA1348" s="2085"/>
      <c r="AB1348" s="2085"/>
      <c r="AC1348" s="2085"/>
      <c r="AD1348" s="2085"/>
      <c r="AE1348" s="2089"/>
    </row>
    <row r="1349" spans="1:31" s="73" customFormat="1" ht="27.6" customHeight="1">
      <c r="A1349" s="689">
        <v>961</v>
      </c>
      <c r="B1349" s="689">
        <v>23</v>
      </c>
      <c r="C1349" s="689" t="s">
        <v>2461</v>
      </c>
      <c r="D1349" s="689" t="s">
        <v>921</v>
      </c>
      <c r="E1349" s="689" t="s">
        <v>47</v>
      </c>
      <c r="F1349" s="1104">
        <v>300</v>
      </c>
      <c r="G1349" s="1105">
        <v>280000</v>
      </c>
      <c r="H1349" s="899">
        <f t="shared" si="211"/>
        <v>84000000</v>
      </c>
      <c r="I1349" s="896">
        <v>300</v>
      </c>
      <c r="J1349" s="897">
        <v>300000</v>
      </c>
      <c r="K1349" s="692">
        <f t="shared" si="212"/>
        <v>90000000</v>
      </c>
      <c r="L1349" s="692">
        <f t="shared" si="208"/>
        <v>20000</v>
      </c>
      <c r="M1349" s="899" t="s">
        <v>2418</v>
      </c>
      <c r="N1349" s="899" t="s">
        <v>2462</v>
      </c>
      <c r="O1349" s="899" t="s">
        <v>2387</v>
      </c>
      <c r="P1349" s="403" t="s">
        <v>2360</v>
      </c>
      <c r="Q1349" s="2084">
        <f t="shared" si="213"/>
        <v>1</v>
      </c>
      <c r="R1349" s="2332">
        <f t="shared" si="214"/>
        <v>300</v>
      </c>
      <c r="S1349" s="2086"/>
      <c r="T1349" s="2086"/>
      <c r="U1349" s="2086"/>
      <c r="V1349" s="2086"/>
      <c r="W1349" s="2087"/>
      <c r="X1349" s="2088"/>
      <c r="Y1349" s="2089"/>
      <c r="Z1349" s="2085"/>
      <c r="AA1349" s="2085"/>
      <c r="AB1349" s="2085"/>
      <c r="AC1349" s="2085"/>
      <c r="AD1349" s="2085"/>
      <c r="AE1349" s="2089"/>
    </row>
    <row r="1350" spans="1:31" s="73" customFormat="1" ht="27.6" customHeight="1">
      <c r="A1350" s="689">
        <v>962</v>
      </c>
      <c r="B1350" s="689">
        <v>24</v>
      </c>
      <c r="C1350" s="689" t="s">
        <v>2463</v>
      </c>
      <c r="D1350" s="689" t="s">
        <v>897</v>
      </c>
      <c r="E1350" s="689" t="s">
        <v>47</v>
      </c>
      <c r="F1350" s="1104">
        <v>30</v>
      </c>
      <c r="G1350" s="1105">
        <v>5000000</v>
      </c>
      <c r="H1350" s="899">
        <f t="shared" si="211"/>
        <v>150000000</v>
      </c>
      <c r="I1350" s="896">
        <v>30</v>
      </c>
      <c r="J1350" s="897">
        <v>5000000</v>
      </c>
      <c r="K1350" s="692">
        <f t="shared" si="212"/>
        <v>150000000</v>
      </c>
      <c r="L1350" s="692">
        <f t="shared" si="208"/>
        <v>0</v>
      </c>
      <c r="M1350" s="899" t="s">
        <v>2418</v>
      </c>
      <c r="N1350" s="899" t="s">
        <v>2464</v>
      </c>
      <c r="O1350" s="899" t="s">
        <v>2387</v>
      </c>
      <c r="P1350" s="403" t="s">
        <v>2360</v>
      </c>
      <c r="Q1350" s="2084">
        <f t="shared" si="213"/>
        <v>1</v>
      </c>
      <c r="R1350" s="2332">
        <f t="shared" si="214"/>
        <v>30</v>
      </c>
      <c r="S1350" s="2086"/>
      <c r="T1350" s="2086"/>
      <c r="U1350" s="2086"/>
      <c r="V1350" s="2086"/>
      <c r="W1350" s="2087"/>
      <c r="X1350" s="2088"/>
      <c r="Y1350" s="2089"/>
      <c r="Z1350" s="2085"/>
      <c r="AA1350" s="2085"/>
      <c r="AB1350" s="2085"/>
      <c r="AC1350" s="2085"/>
      <c r="AD1350" s="2085"/>
      <c r="AE1350" s="2089"/>
    </row>
    <row r="1351" spans="1:31" s="73" customFormat="1" ht="27.6" customHeight="1">
      <c r="A1351" s="689">
        <v>963</v>
      </c>
      <c r="B1351" s="689">
        <v>25</v>
      </c>
      <c r="C1351" s="689" t="s">
        <v>2465</v>
      </c>
      <c r="D1351" s="689" t="s">
        <v>897</v>
      </c>
      <c r="E1351" s="689" t="s">
        <v>47</v>
      </c>
      <c r="F1351" s="1104">
        <v>50</v>
      </c>
      <c r="G1351" s="1105">
        <v>150000</v>
      </c>
      <c r="H1351" s="899">
        <f t="shared" si="211"/>
        <v>7500000</v>
      </c>
      <c r="I1351" s="896">
        <v>50</v>
      </c>
      <c r="J1351" s="897">
        <v>150000</v>
      </c>
      <c r="K1351" s="692">
        <f t="shared" si="212"/>
        <v>7500000</v>
      </c>
      <c r="L1351" s="692">
        <f t="shared" si="208"/>
        <v>0</v>
      </c>
      <c r="M1351" s="899" t="s">
        <v>2418</v>
      </c>
      <c r="N1351" s="899" t="s">
        <v>2466</v>
      </c>
      <c r="O1351" s="899" t="s">
        <v>2387</v>
      </c>
      <c r="P1351" s="403" t="s">
        <v>2360</v>
      </c>
      <c r="Q1351" s="2084">
        <f t="shared" si="213"/>
        <v>1</v>
      </c>
      <c r="R1351" s="2332">
        <f t="shared" si="214"/>
        <v>50</v>
      </c>
      <c r="S1351" s="2086"/>
      <c r="T1351" s="2086"/>
      <c r="U1351" s="2086"/>
      <c r="V1351" s="2086"/>
      <c r="W1351" s="2087"/>
      <c r="X1351" s="2088"/>
      <c r="Y1351" s="2089"/>
      <c r="Z1351" s="2085"/>
      <c r="AA1351" s="2085"/>
      <c r="AB1351" s="2085"/>
      <c r="AC1351" s="2085"/>
      <c r="AD1351" s="2085"/>
      <c r="AE1351" s="2089"/>
    </row>
    <row r="1352" spans="1:31" s="73" customFormat="1" ht="27.6" customHeight="1">
      <c r="A1352" s="689">
        <v>964</v>
      </c>
      <c r="B1352" s="689">
        <v>26</v>
      </c>
      <c r="C1352" s="689" t="s">
        <v>2467</v>
      </c>
      <c r="D1352" s="689" t="s">
        <v>897</v>
      </c>
      <c r="E1352" s="689" t="s">
        <v>47</v>
      </c>
      <c r="F1352" s="1104">
        <v>500</v>
      </c>
      <c r="G1352" s="1105">
        <v>88000</v>
      </c>
      <c r="H1352" s="899">
        <f t="shared" si="211"/>
        <v>44000000</v>
      </c>
      <c r="I1352" s="896">
        <v>500</v>
      </c>
      <c r="J1352" s="897">
        <v>88000</v>
      </c>
      <c r="K1352" s="692">
        <f t="shared" si="212"/>
        <v>44000000</v>
      </c>
      <c r="L1352" s="692">
        <f t="shared" si="208"/>
        <v>0</v>
      </c>
      <c r="M1352" s="899" t="s">
        <v>2418</v>
      </c>
      <c r="N1352" s="899" t="s">
        <v>2468</v>
      </c>
      <c r="O1352" s="899" t="s">
        <v>2387</v>
      </c>
      <c r="P1352" s="403" t="s">
        <v>2360</v>
      </c>
      <c r="Q1352" s="2084">
        <f t="shared" si="213"/>
        <v>1</v>
      </c>
      <c r="R1352" s="2332">
        <f t="shared" si="214"/>
        <v>500</v>
      </c>
      <c r="S1352" s="2086"/>
      <c r="T1352" s="2086"/>
      <c r="U1352" s="2086"/>
      <c r="V1352" s="2086"/>
      <c r="W1352" s="2087"/>
      <c r="X1352" s="2088"/>
      <c r="Y1352" s="2089"/>
      <c r="Z1352" s="2085"/>
      <c r="AA1352" s="2085"/>
      <c r="AB1352" s="2085"/>
      <c r="AC1352" s="2085"/>
      <c r="AD1352" s="2085"/>
      <c r="AE1352" s="2089"/>
    </row>
    <row r="1353" spans="1:31" s="73" customFormat="1" ht="27.6" customHeight="1">
      <c r="A1353" s="1117">
        <v>965</v>
      </c>
      <c r="B1353" s="1117">
        <v>27</v>
      </c>
      <c r="C1353" s="1117" t="s">
        <v>2469</v>
      </c>
      <c r="D1353" s="1117" t="s">
        <v>897</v>
      </c>
      <c r="E1353" s="1117" t="s">
        <v>47</v>
      </c>
      <c r="F1353" s="1118">
        <v>15</v>
      </c>
      <c r="G1353" s="1119">
        <v>420000</v>
      </c>
      <c r="H1353" s="1115">
        <f t="shared" si="211"/>
        <v>6300000</v>
      </c>
      <c r="I1353" s="906">
        <v>15</v>
      </c>
      <c r="J1353" s="961">
        <v>420000</v>
      </c>
      <c r="K1353" s="711">
        <f t="shared" si="212"/>
        <v>6300000</v>
      </c>
      <c r="L1353" s="711">
        <f t="shared" si="208"/>
        <v>0</v>
      </c>
      <c r="M1353" s="1115" t="s">
        <v>2418</v>
      </c>
      <c r="N1353" s="1115" t="s">
        <v>2470</v>
      </c>
      <c r="O1353" s="1115" t="s">
        <v>2387</v>
      </c>
      <c r="P1353" s="420" t="s">
        <v>2360</v>
      </c>
      <c r="Q1353" s="2084">
        <f t="shared" si="213"/>
        <v>1</v>
      </c>
      <c r="R1353" s="2332">
        <f t="shared" si="214"/>
        <v>15</v>
      </c>
      <c r="S1353" s="2086"/>
      <c r="T1353" s="2086"/>
      <c r="U1353" s="2086"/>
      <c r="V1353" s="2086"/>
      <c r="W1353" s="2087"/>
      <c r="X1353" s="2088"/>
      <c r="Y1353" s="2089"/>
      <c r="Z1353" s="2085"/>
      <c r="AA1353" s="2085"/>
      <c r="AB1353" s="2085"/>
      <c r="AC1353" s="2085"/>
      <c r="AD1353" s="2085"/>
      <c r="AE1353" s="2089"/>
    </row>
    <row r="1354" spans="1:31">
      <c r="A1354" s="2173" t="s">
        <v>2112</v>
      </c>
      <c r="B1354" s="2173"/>
      <c r="C1354" s="2173"/>
      <c r="D1354" s="2173"/>
      <c r="E1354" s="2173"/>
      <c r="F1354" s="2173"/>
      <c r="G1354" s="2173"/>
      <c r="H1354" s="2314">
        <f>SUM(H1327:H1353)</f>
        <v>2161100000</v>
      </c>
      <c r="I1354" s="1121"/>
      <c r="J1354" s="1121"/>
      <c r="K1354" s="1120">
        <f>SUM(K1327:K1353)</f>
        <v>2242575000</v>
      </c>
      <c r="L1354" s="248"/>
      <c r="M1354" s="247"/>
      <c r="N1354" s="247"/>
      <c r="O1354" s="247"/>
      <c r="P1354" s="142"/>
      <c r="Q1354" s="115"/>
    </row>
    <row r="1355" spans="1:31">
      <c r="A1355" s="1122"/>
      <c r="B1355" s="1122"/>
      <c r="C1355" s="1122"/>
      <c r="D1355" s="1122"/>
      <c r="E1355" s="1122"/>
      <c r="F1355" s="1122"/>
      <c r="G1355" s="1122"/>
      <c r="H1355" s="1122"/>
      <c r="I1355" s="1123"/>
      <c r="J1355" s="1123"/>
      <c r="K1355" s="1122"/>
      <c r="L1355" s="789"/>
      <c r="M1355" s="790"/>
      <c r="N1355" s="790"/>
      <c r="O1355" s="790"/>
      <c r="P1355" s="115"/>
      <c r="Q1355" s="115"/>
    </row>
    <row r="1356" spans="1:31">
      <c r="A1356" s="1122"/>
      <c r="B1356" s="1122"/>
      <c r="C1356" s="1122"/>
      <c r="D1356" s="1122"/>
      <c r="E1356" s="1122"/>
      <c r="F1356" s="1122"/>
      <c r="G1356" s="1122"/>
      <c r="H1356" s="1122"/>
      <c r="I1356" s="1123"/>
      <c r="J1356" s="1123"/>
      <c r="K1356" s="1122"/>
      <c r="L1356" s="789"/>
      <c r="M1356" s="790"/>
      <c r="N1356" s="790"/>
      <c r="O1356" s="790"/>
      <c r="P1356" s="115"/>
      <c r="Q1356" s="115"/>
    </row>
    <row r="1357" spans="1:31">
      <c r="A1357" s="1122"/>
      <c r="B1357" s="1122"/>
      <c r="C1357" s="1122"/>
      <c r="D1357" s="1122"/>
      <c r="E1357" s="1122"/>
      <c r="F1357" s="1122"/>
      <c r="G1357" s="1122"/>
      <c r="H1357" s="1122"/>
      <c r="I1357" s="1123"/>
      <c r="J1357" s="1123"/>
      <c r="K1357" s="1122"/>
      <c r="L1357" s="789"/>
      <c r="M1357" s="790"/>
      <c r="N1357" s="790"/>
      <c r="O1357" s="790"/>
      <c r="P1357" s="115"/>
      <c r="Q1357" s="115"/>
    </row>
    <row r="1359" spans="1:31">
      <c r="A1359" s="71" t="s">
        <v>2471</v>
      </c>
    </row>
    <row r="1360" spans="1:31" s="12" customFormat="1" ht="15.6" customHeight="1">
      <c r="A1360" s="2092" t="s">
        <v>5</v>
      </c>
      <c r="B1360" s="2092" t="s">
        <v>6</v>
      </c>
      <c r="C1360" s="2094" t="s">
        <v>7</v>
      </c>
      <c r="D1360" s="2096" t="s">
        <v>8</v>
      </c>
      <c r="E1360" s="2092" t="s">
        <v>9</v>
      </c>
      <c r="F1360" s="2098" t="s">
        <v>10</v>
      </c>
      <c r="G1360" s="2098"/>
      <c r="H1360" s="2098"/>
      <c r="I1360" s="2098" t="s">
        <v>11</v>
      </c>
      <c r="J1360" s="2098"/>
      <c r="K1360" s="2098"/>
      <c r="L1360" s="2099" t="s">
        <v>12</v>
      </c>
      <c r="M1360" s="9"/>
      <c r="N1360" s="9"/>
      <c r="O1360" s="9"/>
      <c r="P1360" s="2101" t="s">
        <v>13</v>
      </c>
      <c r="Q1360" s="2265" t="s">
        <v>4740</v>
      </c>
      <c r="R1360" s="2319" t="s">
        <v>4754</v>
      </c>
      <c r="S1360" s="2267" t="s">
        <v>4767</v>
      </c>
      <c r="T1360" s="2268"/>
      <c r="U1360" s="2268"/>
      <c r="V1360" s="2268"/>
      <c r="W1360" s="2269"/>
      <c r="X1360" s="2267" t="s">
        <v>4768</v>
      </c>
      <c r="Y1360" s="2268"/>
      <c r="Z1360" s="2268"/>
      <c r="AA1360" s="2268"/>
      <c r="AB1360" s="2268"/>
      <c r="AC1360" s="2268"/>
      <c r="AD1360" s="2268"/>
      <c r="AE1360" s="2269"/>
    </row>
    <row r="1361" spans="1:31" s="16" customFormat="1" ht="27">
      <c r="A1361" s="2093"/>
      <c r="B1361" s="2093"/>
      <c r="C1361" s="2095"/>
      <c r="D1361" s="2097"/>
      <c r="E1361" s="2093"/>
      <c r="F1361" s="13" t="s">
        <v>14</v>
      </c>
      <c r="G1361" s="13" t="s">
        <v>15</v>
      </c>
      <c r="H1361" s="13" t="s">
        <v>16</v>
      </c>
      <c r="I1361" s="13" t="s">
        <v>14</v>
      </c>
      <c r="J1361" s="13" t="s">
        <v>15</v>
      </c>
      <c r="K1361" s="13" t="s">
        <v>16</v>
      </c>
      <c r="L1361" s="2100"/>
      <c r="M1361" s="14" t="s">
        <v>17</v>
      </c>
      <c r="N1361" s="14" t="s">
        <v>18</v>
      </c>
      <c r="O1361" s="14" t="s">
        <v>19</v>
      </c>
      <c r="P1361" s="2102"/>
      <c r="Q1361" s="2266"/>
      <c r="R1361" s="2320"/>
      <c r="S1361" s="2263" t="s">
        <v>4755</v>
      </c>
      <c r="T1361" s="2263" t="s">
        <v>4756</v>
      </c>
      <c r="U1361" s="2263" t="s">
        <v>4757</v>
      </c>
      <c r="V1361" s="2263" t="s">
        <v>4758</v>
      </c>
      <c r="W1361" s="2263" t="s">
        <v>4759</v>
      </c>
      <c r="X1361" s="2264" t="s">
        <v>4760</v>
      </c>
      <c r="Y1361" s="2264" t="s">
        <v>4761</v>
      </c>
      <c r="Z1361" s="2264" t="s">
        <v>4762</v>
      </c>
      <c r="AA1361" s="2264" t="s">
        <v>4763</v>
      </c>
      <c r="AB1361" s="2264" t="s">
        <v>4764</v>
      </c>
      <c r="AC1361" s="2264" t="s">
        <v>4765</v>
      </c>
      <c r="AD1361" s="2264" t="s">
        <v>4766</v>
      </c>
      <c r="AE1361" s="2264" t="s">
        <v>4755</v>
      </c>
    </row>
    <row r="1362" spans="1:31" s="70" customFormat="1" ht="15">
      <c r="A1362" s="331">
        <v>1</v>
      </c>
      <c r="B1362" s="331">
        <v>2</v>
      </c>
      <c r="C1362" s="63">
        <v>3</v>
      </c>
      <c r="D1362" s="331">
        <v>4</v>
      </c>
      <c r="E1362" s="331">
        <v>5</v>
      </c>
      <c r="F1362" s="57">
        <v>6</v>
      </c>
      <c r="G1362" s="57">
        <v>7</v>
      </c>
      <c r="H1362" s="331">
        <v>8</v>
      </c>
      <c r="I1362" s="331">
        <v>9</v>
      </c>
      <c r="J1362" s="331">
        <v>10</v>
      </c>
      <c r="K1362" s="331">
        <v>11</v>
      </c>
      <c r="L1362" s="331">
        <v>12</v>
      </c>
      <c r="M1362" s="331">
        <v>9</v>
      </c>
      <c r="N1362" s="331">
        <v>10</v>
      </c>
      <c r="O1362" s="331">
        <v>11</v>
      </c>
      <c r="P1362" s="21">
        <v>13</v>
      </c>
      <c r="Q1362" s="2262"/>
      <c r="R1362" s="2334"/>
      <c r="S1362" s="2085"/>
      <c r="T1362" s="2085"/>
      <c r="U1362" s="2085"/>
      <c r="V1362" s="2085"/>
      <c r="W1362" s="2087"/>
      <c r="X1362" s="2270"/>
      <c r="Y1362" s="2089"/>
      <c r="Z1362" s="2085"/>
      <c r="AA1362" s="2085"/>
      <c r="AB1362" s="2085"/>
      <c r="AC1362" s="2085"/>
      <c r="AD1362" s="2085"/>
      <c r="AE1362" s="2089"/>
    </row>
    <row r="1363" spans="1:31" ht="15">
      <c r="A1363" s="280">
        <v>966</v>
      </c>
      <c r="B1363" s="889">
        <v>1</v>
      </c>
      <c r="C1363" s="889" t="s">
        <v>2472</v>
      </c>
      <c r="D1363" s="889" t="s">
        <v>1424</v>
      </c>
      <c r="E1363" s="1103" t="s">
        <v>47</v>
      </c>
      <c r="F1363" s="1124">
        <v>2</v>
      </c>
      <c r="G1363" s="682">
        <v>2250000</v>
      </c>
      <c r="H1363" s="1125">
        <f>F1363*G1363</f>
        <v>4500000</v>
      </c>
      <c r="I1363" s="891">
        <v>2</v>
      </c>
      <c r="J1363" s="892">
        <v>2250000</v>
      </c>
      <c r="K1363" s="682">
        <f>I1363*J1363</f>
        <v>4500000</v>
      </c>
      <c r="L1363" s="682">
        <f t="shared" ref="L1363:L1371" si="215">J1363-G1363</f>
        <v>0</v>
      </c>
      <c r="M1363" s="400" t="s">
        <v>2473</v>
      </c>
      <c r="N1363" s="400" t="s">
        <v>2474</v>
      </c>
      <c r="O1363" s="677" t="s">
        <v>2475</v>
      </c>
      <c r="P1363" s="400" t="s">
        <v>2476</v>
      </c>
      <c r="Q1363" s="2084">
        <f t="shared" ref="Q1363" si="216">R1363/F1363</f>
        <v>1</v>
      </c>
      <c r="R1363" s="2332">
        <f t="shared" ref="R1363" si="217">+F1363-(S1363+T1363+U1363+W1363+X1363+Y1363+Z1363+AA1363+AB1363+AC1363+AD1363+AE1363)</f>
        <v>2</v>
      </c>
      <c r="S1363" s="2086"/>
      <c r="T1363" s="2086"/>
      <c r="U1363" s="2086"/>
      <c r="V1363" s="2086"/>
      <c r="W1363" s="2271"/>
      <c r="X1363" s="2272"/>
      <c r="Y1363" s="2273"/>
      <c r="Z1363" s="2086"/>
      <c r="AA1363" s="2086"/>
      <c r="AB1363" s="2086"/>
      <c r="AC1363" s="2086"/>
      <c r="AD1363" s="2086"/>
      <c r="AE1363" s="2273"/>
    </row>
    <row r="1364" spans="1:31" ht="15">
      <c r="A1364" s="289">
        <v>967</v>
      </c>
      <c r="B1364" s="894">
        <v>2</v>
      </c>
      <c r="C1364" s="894" t="s">
        <v>2477</v>
      </c>
      <c r="D1364" s="894" t="s">
        <v>2478</v>
      </c>
      <c r="E1364" s="899" t="s">
        <v>2055</v>
      </c>
      <c r="F1364" s="1126">
        <v>40</v>
      </c>
      <c r="G1364" s="692">
        <v>17500000</v>
      </c>
      <c r="H1364" s="1127">
        <f t="shared" ref="H1364:H1371" si="218">F1364*G1364</f>
        <v>700000000</v>
      </c>
      <c r="I1364" s="896">
        <v>40</v>
      </c>
      <c r="J1364" s="897">
        <v>17500000</v>
      </c>
      <c r="K1364" s="692">
        <f t="shared" ref="K1364:K1371" si="219">I1364*J1364</f>
        <v>700000000</v>
      </c>
      <c r="L1364" s="692">
        <f t="shared" si="215"/>
        <v>0</v>
      </c>
      <c r="M1364" s="403" t="s">
        <v>2473</v>
      </c>
      <c r="N1364" s="403" t="s">
        <v>2479</v>
      </c>
      <c r="O1364" s="685" t="s">
        <v>2475</v>
      </c>
      <c r="P1364" s="403" t="s">
        <v>2476</v>
      </c>
      <c r="Q1364" s="2084">
        <f t="shared" ref="Q1364:Q1371" si="220">R1364/F1364</f>
        <v>1</v>
      </c>
      <c r="R1364" s="2332">
        <f t="shared" ref="R1364:R1371" si="221">+F1364-(S1364+T1364+U1364+W1364+X1364+Y1364+Z1364+AA1364+AB1364+AC1364+AD1364+AE1364)</f>
        <v>40</v>
      </c>
      <c r="S1364" s="2086"/>
      <c r="T1364" s="2086"/>
      <c r="U1364" s="2086"/>
      <c r="V1364" s="2086"/>
      <c r="W1364" s="2271"/>
      <c r="X1364" s="2272"/>
      <c r="Y1364" s="2273"/>
      <c r="Z1364" s="2086"/>
      <c r="AA1364" s="2086"/>
      <c r="AB1364" s="2086"/>
      <c r="AC1364" s="2086"/>
      <c r="AD1364" s="2086"/>
      <c r="AE1364" s="2273"/>
    </row>
    <row r="1365" spans="1:31" ht="15">
      <c r="A1365" s="289">
        <v>968</v>
      </c>
      <c r="B1365" s="894">
        <v>3</v>
      </c>
      <c r="C1365" s="894" t="s">
        <v>2480</v>
      </c>
      <c r="D1365" s="894" t="s">
        <v>1424</v>
      </c>
      <c r="E1365" s="899" t="s">
        <v>47</v>
      </c>
      <c r="F1365" s="1126">
        <v>10</v>
      </c>
      <c r="G1365" s="692">
        <v>5200000</v>
      </c>
      <c r="H1365" s="1127">
        <f t="shared" si="218"/>
        <v>52000000</v>
      </c>
      <c r="I1365" s="896">
        <v>10</v>
      </c>
      <c r="J1365" s="897">
        <v>5200000</v>
      </c>
      <c r="K1365" s="692">
        <f t="shared" si="219"/>
        <v>52000000</v>
      </c>
      <c r="L1365" s="692">
        <f t="shared" si="215"/>
        <v>0</v>
      </c>
      <c r="M1365" s="403" t="s">
        <v>2473</v>
      </c>
      <c r="N1365" s="403" t="s">
        <v>2481</v>
      </c>
      <c r="O1365" s="685" t="s">
        <v>2475</v>
      </c>
      <c r="P1365" s="403" t="s">
        <v>2476</v>
      </c>
      <c r="Q1365" s="2084">
        <f t="shared" si="220"/>
        <v>1</v>
      </c>
      <c r="R1365" s="2332">
        <f t="shared" si="221"/>
        <v>10</v>
      </c>
      <c r="S1365" s="2086"/>
      <c r="T1365" s="2086"/>
      <c r="U1365" s="2086"/>
      <c r="V1365" s="2086"/>
      <c r="W1365" s="2271"/>
      <c r="X1365" s="2272"/>
      <c r="Y1365" s="2273"/>
      <c r="Z1365" s="2086"/>
      <c r="AA1365" s="2086"/>
      <c r="AB1365" s="2086"/>
      <c r="AC1365" s="2086"/>
      <c r="AD1365" s="2086"/>
      <c r="AE1365" s="2273"/>
    </row>
    <row r="1366" spans="1:31" ht="18">
      <c r="A1366" s="289">
        <v>969</v>
      </c>
      <c r="B1366" s="894">
        <v>4</v>
      </c>
      <c r="C1366" s="894" t="s">
        <v>2482</v>
      </c>
      <c r="D1366" s="894" t="s">
        <v>1424</v>
      </c>
      <c r="E1366" s="899" t="s">
        <v>47</v>
      </c>
      <c r="F1366" s="1126">
        <v>15</v>
      </c>
      <c r="G1366" s="692">
        <v>5000000</v>
      </c>
      <c r="H1366" s="1127">
        <f t="shared" si="218"/>
        <v>75000000</v>
      </c>
      <c r="I1366" s="896">
        <v>15</v>
      </c>
      <c r="J1366" s="897">
        <v>5000000</v>
      </c>
      <c r="K1366" s="692">
        <f t="shared" si="219"/>
        <v>75000000</v>
      </c>
      <c r="L1366" s="692">
        <f t="shared" si="215"/>
        <v>0</v>
      </c>
      <c r="M1366" s="403" t="s">
        <v>2473</v>
      </c>
      <c r="N1366" s="403" t="s">
        <v>2483</v>
      </c>
      <c r="O1366" s="685" t="s">
        <v>2475</v>
      </c>
      <c r="P1366" s="403" t="s">
        <v>2476</v>
      </c>
      <c r="Q1366" s="2084">
        <f t="shared" si="220"/>
        <v>1</v>
      </c>
      <c r="R1366" s="2332">
        <f t="shared" si="221"/>
        <v>15</v>
      </c>
      <c r="S1366" s="2086"/>
      <c r="T1366" s="2086"/>
      <c r="U1366" s="2086"/>
      <c r="V1366" s="2086"/>
      <c r="W1366" s="2271"/>
      <c r="X1366" s="2272"/>
      <c r="Y1366" s="2273"/>
      <c r="Z1366" s="2086"/>
      <c r="AA1366" s="2086"/>
      <c r="AB1366" s="2086"/>
      <c r="AC1366" s="2086"/>
      <c r="AD1366" s="2086"/>
      <c r="AE1366" s="2273"/>
    </row>
    <row r="1367" spans="1:31" ht="15">
      <c r="A1367" s="289">
        <v>970</v>
      </c>
      <c r="B1367" s="894">
        <v>5</v>
      </c>
      <c r="C1367" s="894" t="s">
        <v>2484</v>
      </c>
      <c r="D1367" s="894" t="s">
        <v>1424</v>
      </c>
      <c r="E1367" s="899" t="s">
        <v>47</v>
      </c>
      <c r="F1367" s="1126">
        <v>10</v>
      </c>
      <c r="G1367" s="692">
        <v>10000000</v>
      </c>
      <c r="H1367" s="1127">
        <f t="shared" si="218"/>
        <v>100000000</v>
      </c>
      <c r="I1367" s="896">
        <v>10</v>
      </c>
      <c r="J1367" s="897">
        <v>10000000</v>
      </c>
      <c r="K1367" s="692">
        <f t="shared" si="219"/>
        <v>100000000</v>
      </c>
      <c r="L1367" s="692">
        <f t="shared" si="215"/>
        <v>0</v>
      </c>
      <c r="M1367" s="403" t="s">
        <v>2473</v>
      </c>
      <c r="N1367" s="403" t="s">
        <v>2485</v>
      </c>
      <c r="O1367" s="685" t="s">
        <v>2475</v>
      </c>
      <c r="P1367" s="403" t="s">
        <v>2476</v>
      </c>
      <c r="Q1367" s="2084">
        <f t="shared" si="220"/>
        <v>1</v>
      </c>
      <c r="R1367" s="2332">
        <f t="shared" si="221"/>
        <v>10</v>
      </c>
      <c r="S1367" s="2086"/>
      <c r="T1367" s="2086"/>
      <c r="U1367" s="2086"/>
      <c r="V1367" s="2086"/>
      <c r="W1367" s="2271"/>
      <c r="X1367" s="2272"/>
      <c r="Y1367" s="2273"/>
      <c r="Z1367" s="2086"/>
      <c r="AA1367" s="2086"/>
      <c r="AB1367" s="2086"/>
      <c r="AC1367" s="2086"/>
      <c r="AD1367" s="2086"/>
      <c r="AE1367" s="2273"/>
    </row>
    <row r="1368" spans="1:31" ht="15">
      <c r="A1368" s="289">
        <v>971</v>
      </c>
      <c r="B1368" s="894">
        <v>6</v>
      </c>
      <c r="C1368" s="894" t="s">
        <v>2486</v>
      </c>
      <c r="D1368" s="894" t="s">
        <v>1424</v>
      </c>
      <c r="E1368" s="899" t="s">
        <v>47</v>
      </c>
      <c r="F1368" s="1126">
        <v>5</v>
      </c>
      <c r="G1368" s="692">
        <v>9000000</v>
      </c>
      <c r="H1368" s="1127">
        <f t="shared" si="218"/>
        <v>45000000</v>
      </c>
      <c r="I1368" s="896">
        <v>5</v>
      </c>
      <c r="J1368" s="897">
        <v>9000000</v>
      </c>
      <c r="K1368" s="692">
        <f t="shared" si="219"/>
        <v>45000000</v>
      </c>
      <c r="L1368" s="692">
        <f t="shared" si="215"/>
        <v>0</v>
      </c>
      <c r="M1368" s="403" t="s">
        <v>2473</v>
      </c>
      <c r="N1368" s="403" t="s">
        <v>2487</v>
      </c>
      <c r="O1368" s="685" t="s">
        <v>2475</v>
      </c>
      <c r="P1368" s="403" t="s">
        <v>2476</v>
      </c>
      <c r="Q1368" s="2084">
        <f t="shared" si="220"/>
        <v>1</v>
      </c>
      <c r="R1368" s="2332">
        <f t="shared" si="221"/>
        <v>5</v>
      </c>
      <c r="S1368" s="2086"/>
      <c r="T1368" s="2086"/>
      <c r="U1368" s="2086"/>
      <c r="V1368" s="2086"/>
      <c r="W1368" s="2271"/>
      <c r="X1368" s="2272"/>
      <c r="Y1368" s="2273"/>
      <c r="Z1368" s="2086"/>
      <c r="AA1368" s="2086"/>
      <c r="AB1368" s="2086"/>
      <c r="AC1368" s="2086"/>
      <c r="AD1368" s="2086"/>
      <c r="AE1368" s="2273"/>
    </row>
    <row r="1369" spans="1:31" ht="15">
      <c r="A1369" s="289">
        <v>972</v>
      </c>
      <c r="B1369" s="894">
        <v>7</v>
      </c>
      <c r="C1369" s="894" t="s">
        <v>2488</v>
      </c>
      <c r="D1369" s="894" t="s">
        <v>1424</v>
      </c>
      <c r="E1369" s="899" t="s">
        <v>47</v>
      </c>
      <c r="F1369" s="1126">
        <v>10</v>
      </c>
      <c r="G1369" s="692">
        <v>19800000</v>
      </c>
      <c r="H1369" s="1127">
        <f t="shared" si="218"/>
        <v>198000000</v>
      </c>
      <c r="I1369" s="896">
        <v>10</v>
      </c>
      <c r="J1369" s="897">
        <v>19800000</v>
      </c>
      <c r="K1369" s="692">
        <f t="shared" si="219"/>
        <v>198000000</v>
      </c>
      <c r="L1369" s="692">
        <f t="shared" si="215"/>
        <v>0</v>
      </c>
      <c r="M1369" s="403" t="s">
        <v>2473</v>
      </c>
      <c r="N1369" s="403" t="s">
        <v>2489</v>
      </c>
      <c r="O1369" s="685" t="s">
        <v>2475</v>
      </c>
      <c r="P1369" s="403" t="s">
        <v>2476</v>
      </c>
      <c r="Q1369" s="2084">
        <f t="shared" si="220"/>
        <v>1</v>
      </c>
      <c r="R1369" s="2332">
        <f t="shared" si="221"/>
        <v>10</v>
      </c>
      <c r="S1369" s="2086"/>
      <c r="T1369" s="2086"/>
      <c r="U1369" s="2086"/>
      <c r="V1369" s="2086"/>
      <c r="W1369" s="2271"/>
      <c r="X1369" s="2272"/>
      <c r="Y1369" s="2273"/>
      <c r="Z1369" s="2086"/>
      <c r="AA1369" s="2086"/>
      <c r="AB1369" s="2086"/>
      <c r="AC1369" s="2086"/>
      <c r="AD1369" s="2086"/>
      <c r="AE1369" s="2273"/>
    </row>
    <row r="1370" spans="1:31" ht="15">
      <c r="A1370" s="289">
        <v>973</v>
      </c>
      <c r="B1370" s="894">
        <v>8</v>
      </c>
      <c r="C1370" s="894" t="s">
        <v>2490</v>
      </c>
      <c r="D1370" s="894" t="s">
        <v>1424</v>
      </c>
      <c r="E1370" s="899" t="s">
        <v>47</v>
      </c>
      <c r="F1370" s="1126">
        <v>2</v>
      </c>
      <c r="G1370" s="692">
        <v>2000000</v>
      </c>
      <c r="H1370" s="1127">
        <f t="shared" si="218"/>
        <v>4000000</v>
      </c>
      <c r="I1370" s="896">
        <v>2</v>
      </c>
      <c r="J1370" s="897">
        <v>2000000</v>
      </c>
      <c r="K1370" s="692">
        <f t="shared" si="219"/>
        <v>4000000</v>
      </c>
      <c r="L1370" s="692">
        <f t="shared" si="215"/>
        <v>0</v>
      </c>
      <c r="M1370" s="403" t="s">
        <v>2473</v>
      </c>
      <c r="N1370" s="403" t="s">
        <v>2490</v>
      </c>
      <c r="O1370" s="685" t="s">
        <v>2475</v>
      </c>
      <c r="P1370" s="403" t="s">
        <v>2476</v>
      </c>
      <c r="Q1370" s="2084">
        <f t="shared" si="220"/>
        <v>1</v>
      </c>
      <c r="R1370" s="2332">
        <f t="shared" si="221"/>
        <v>2</v>
      </c>
      <c r="S1370" s="2086"/>
      <c r="T1370" s="2086"/>
      <c r="U1370" s="2086"/>
      <c r="V1370" s="2086"/>
      <c r="W1370" s="2271"/>
      <c r="X1370" s="2272"/>
      <c r="Y1370" s="2273"/>
      <c r="Z1370" s="2086"/>
      <c r="AA1370" s="2086"/>
      <c r="AB1370" s="2086"/>
      <c r="AC1370" s="2086"/>
      <c r="AD1370" s="2086"/>
      <c r="AE1370" s="2273"/>
    </row>
    <row r="1371" spans="1:31" ht="18">
      <c r="A1371" s="1088">
        <v>974</v>
      </c>
      <c r="B1371" s="1058">
        <v>9</v>
      </c>
      <c r="C1371" s="1058" t="s">
        <v>2491</v>
      </c>
      <c r="D1371" s="1058" t="s">
        <v>1424</v>
      </c>
      <c r="E1371" s="1108" t="s">
        <v>47</v>
      </c>
      <c r="F1371" s="1128">
        <v>2</v>
      </c>
      <c r="G1371" s="738">
        <v>15000000</v>
      </c>
      <c r="H1371" s="1129">
        <f t="shared" si="218"/>
        <v>30000000</v>
      </c>
      <c r="I1371" s="976">
        <v>2</v>
      </c>
      <c r="J1371" s="977">
        <v>15000000</v>
      </c>
      <c r="K1371" s="738">
        <f t="shared" si="219"/>
        <v>30000000</v>
      </c>
      <c r="L1371" s="738">
        <f t="shared" si="215"/>
        <v>0</v>
      </c>
      <c r="M1371" s="786" t="s">
        <v>2473</v>
      </c>
      <c r="N1371" s="786" t="s">
        <v>2492</v>
      </c>
      <c r="O1371" s="1087" t="s">
        <v>2475</v>
      </c>
      <c r="P1371" s="786" t="s">
        <v>2476</v>
      </c>
      <c r="Q1371" s="2278">
        <f t="shared" si="220"/>
        <v>1</v>
      </c>
      <c r="R1371" s="2335">
        <f t="shared" si="221"/>
        <v>2</v>
      </c>
      <c r="S1371" s="2274"/>
      <c r="T1371" s="2274"/>
      <c r="U1371" s="2274"/>
      <c r="V1371" s="2274"/>
      <c r="W1371" s="2275"/>
      <c r="X1371" s="2276"/>
      <c r="Y1371" s="2277"/>
      <c r="Z1371" s="2274"/>
      <c r="AA1371" s="2274"/>
      <c r="AB1371" s="2274"/>
      <c r="AC1371" s="2274"/>
      <c r="AD1371" s="2274"/>
      <c r="AE1371" s="2277"/>
    </row>
    <row r="1372" spans="1:31">
      <c r="A1372" s="142"/>
      <c r="B1372" s="142"/>
      <c r="C1372" s="2166" t="s">
        <v>1537</v>
      </c>
      <c r="D1372" s="2166"/>
      <c r="E1372" s="142"/>
      <c r="F1372" s="142"/>
      <c r="G1372" s="142"/>
      <c r="H1372" s="2298">
        <f>SUM(H1363:H1371)</f>
        <v>1208500000</v>
      </c>
      <c r="I1372" s="142"/>
      <c r="J1372" s="142"/>
      <c r="K1372" s="659">
        <f>SUM(K1363:K1371)</f>
        <v>1208500000</v>
      </c>
      <c r="L1372" s="743"/>
      <c r="M1372" s="142"/>
      <c r="N1372" s="142"/>
      <c r="O1372" s="142"/>
      <c r="P1372" s="142"/>
      <c r="Q1372" s="115"/>
    </row>
    <row r="1373" spans="1:31">
      <c r="A1373" s="2174" t="s">
        <v>2493</v>
      </c>
      <c r="B1373" s="2174"/>
      <c r="C1373" s="2174"/>
      <c r="D1373" s="2174"/>
      <c r="E1373" s="2174"/>
      <c r="F1373" s="2174"/>
      <c r="G1373" s="2174"/>
      <c r="H1373" s="2174"/>
      <c r="I1373" s="2174"/>
      <c r="J1373" s="2174"/>
      <c r="K1373" s="2174"/>
    </row>
    <row r="1375" spans="1:31">
      <c r="A1375" s="71" t="s">
        <v>2494</v>
      </c>
    </row>
    <row r="1377" spans="1:31" s="12" customFormat="1">
      <c r="A1377" s="2092" t="s">
        <v>5</v>
      </c>
      <c r="B1377" s="2092" t="s">
        <v>6</v>
      </c>
      <c r="C1377" s="2094" t="s">
        <v>7</v>
      </c>
      <c r="D1377" s="2096" t="s">
        <v>8</v>
      </c>
      <c r="E1377" s="2092" t="s">
        <v>9</v>
      </c>
      <c r="F1377" s="2098" t="s">
        <v>10</v>
      </c>
      <c r="G1377" s="2098"/>
      <c r="H1377" s="2098"/>
      <c r="I1377" s="2098" t="s">
        <v>11</v>
      </c>
      <c r="J1377" s="2098"/>
      <c r="K1377" s="2098"/>
      <c r="L1377" s="2099" t="s">
        <v>12</v>
      </c>
      <c r="M1377" s="9"/>
      <c r="N1377" s="9"/>
      <c r="O1377" s="9"/>
      <c r="P1377" s="2101" t="s">
        <v>13</v>
      </c>
      <c r="Q1377" s="10"/>
      <c r="R1377" s="2318"/>
      <c r="S1377" s="11"/>
    </row>
    <row r="1378" spans="1:31" s="16" customFormat="1" ht="27">
      <c r="A1378" s="2093"/>
      <c r="B1378" s="2093"/>
      <c r="C1378" s="2095"/>
      <c r="D1378" s="2097"/>
      <c r="E1378" s="2093"/>
      <c r="F1378" s="13" t="s">
        <v>14</v>
      </c>
      <c r="G1378" s="13" t="s">
        <v>15</v>
      </c>
      <c r="H1378" s="13" t="s">
        <v>16</v>
      </c>
      <c r="I1378" s="13" t="s">
        <v>14</v>
      </c>
      <c r="J1378" s="13" t="s">
        <v>15</v>
      </c>
      <c r="K1378" s="13" t="s">
        <v>16</v>
      </c>
      <c r="L1378" s="2100"/>
      <c r="M1378" s="14" t="s">
        <v>17</v>
      </c>
      <c r="N1378" s="14" t="s">
        <v>18</v>
      </c>
      <c r="O1378" s="14" t="s">
        <v>19</v>
      </c>
      <c r="P1378" s="2102"/>
      <c r="Q1378" s="10"/>
      <c r="R1378" s="2321"/>
      <c r="S1378" s="15"/>
    </row>
    <row r="1379" spans="1:31" s="70" customFormat="1">
      <c r="A1379" s="331">
        <v>1</v>
      </c>
      <c r="B1379" s="331">
        <v>2</v>
      </c>
      <c r="C1379" s="63">
        <v>3</v>
      </c>
      <c r="D1379" s="331">
        <v>4</v>
      </c>
      <c r="E1379" s="331">
        <v>5</v>
      </c>
      <c r="F1379" s="57">
        <v>6</v>
      </c>
      <c r="G1379" s="57">
        <v>7</v>
      </c>
      <c r="H1379" s="331">
        <v>8</v>
      </c>
      <c r="I1379" s="331">
        <v>9</v>
      </c>
      <c r="J1379" s="331">
        <v>10</v>
      </c>
      <c r="K1379" s="331">
        <v>11</v>
      </c>
      <c r="L1379" s="331">
        <v>12</v>
      </c>
      <c r="M1379" s="331">
        <v>9</v>
      </c>
      <c r="N1379" s="331">
        <v>10</v>
      </c>
      <c r="O1379" s="331">
        <v>11</v>
      </c>
      <c r="P1379" s="21">
        <v>13</v>
      </c>
      <c r="Q1379" s="22"/>
      <c r="R1379" s="2321"/>
      <c r="S1379" s="485"/>
    </row>
    <row r="1380" spans="1:31" ht="15">
      <c r="A1380" s="400">
        <v>975</v>
      </c>
      <c r="B1380" s="400">
        <v>1</v>
      </c>
      <c r="C1380" s="1124" t="s">
        <v>2495</v>
      </c>
      <c r="D1380" s="1124" t="s">
        <v>897</v>
      </c>
      <c r="E1380" s="1124" t="s">
        <v>47</v>
      </c>
      <c r="F1380" s="1130">
        <v>5</v>
      </c>
      <c r="G1380" s="892">
        <v>1000000</v>
      </c>
      <c r="H1380" s="892">
        <f>F1380*G1380</f>
        <v>5000000</v>
      </c>
      <c r="I1380" s="891">
        <v>5</v>
      </c>
      <c r="J1380" s="892">
        <v>7500000</v>
      </c>
      <c r="K1380" s="892">
        <f>I1380*J1380</f>
        <v>37500000</v>
      </c>
      <c r="L1380" s="682">
        <f t="shared" ref="L1380:L1399" si="222">J1380-G1380</f>
        <v>6500000</v>
      </c>
      <c r="M1380" s="400" t="s">
        <v>2496</v>
      </c>
      <c r="N1380" s="400" t="s">
        <v>2497</v>
      </c>
      <c r="O1380" s="400" t="s">
        <v>2498</v>
      </c>
      <c r="P1380" s="400" t="s">
        <v>2499</v>
      </c>
      <c r="Q1380" s="2084">
        <f t="shared" ref="Q1380" si="223">R1380/F1380</f>
        <v>1</v>
      </c>
      <c r="R1380" s="2332">
        <f t="shared" ref="R1380" si="224">+F1380-(S1380+T1380+U1380+W1380+X1380+Y1380+Z1380+AA1380+AB1380+AC1380+AD1380+AE1380)</f>
        <v>5</v>
      </c>
      <c r="S1380" s="2086"/>
      <c r="T1380" s="2086"/>
      <c r="U1380" s="2086"/>
      <c r="V1380" s="2086"/>
      <c r="W1380" s="2087"/>
      <c r="X1380" s="2088"/>
      <c r="Y1380" s="2089"/>
      <c r="Z1380" s="2085"/>
      <c r="AA1380" s="2085"/>
      <c r="AB1380" s="2085"/>
      <c r="AC1380" s="2085"/>
      <c r="AD1380" s="2085"/>
      <c r="AE1380" s="2089"/>
    </row>
    <row r="1381" spans="1:31" ht="15">
      <c r="A1381" s="403">
        <v>976</v>
      </c>
      <c r="B1381" s="403">
        <v>2</v>
      </c>
      <c r="C1381" s="1126" t="s">
        <v>2500</v>
      </c>
      <c r="D1381" s="1126" t="s">
        <v>897</v>
      </c>
      <c r="E1381" s="1126" t="s">
        <v>47</v>
      </c>
      <c r="F1381" s="1131">
        <v>5</v>
      </c>
      <c r="G1381" s="897">
        <v>1000000</v>
      </c>
      <c r="H1381" s="897">
        <f t="shared" ref="H1381:H1399" si="225">F1381*G1381</f>
        <v>5000000</v>
      </c>
      <c r="I1381" s="896">
        <v>5</v>
      </c>
      <c r="J1381" s="897">
        <v>7800000</v>
      </c>
      <c r="K1381" s="897">
        <f t="shared" ref="K1381:K1399" si="226">I1381*J1381</f>
        <v>39000000</v>
      </c>
      <c r="L1381" s="692">
        <f t="shared" si="222"/>
        <v>6800000</v>
      </c>
      <c r="M1381" s="403" t="s">
        <v>2496</v>
      </c>
      <c r="N1381" s="403" t="s">
        <v>2497</v>
      </c>
      <c r="O1381" s="403" t="s">
        <v>2498</v>
      </c>
      <c r="P1381" s="403" t="s">
        <v>2499</v>
      </c>
      <c r="Q1381" s="2084">
        <f t="shared" ref="Q1381:Q1399" si="227">R1381/F1381</f>
        <v>1</v>
      </c>
      <c r="R1381" s="2332">
        <f t="shared" ref="R1381:R1399" si="228">+F1381-(S1381+T1381+U1381+W1381+X1381+Y1381+Z1381+AA1381+AB1381+AC1381+AD1381+AE1381)</f>
        <v>5</v>
      </c>
      <c r="S1381" s="2086"/>
      <c r="T1381" s="2086"/>
      <c r="U1381" s="2086"/>
      <c r="V1381" s="2086"/>
      <c r="W1381" s="2087"/>
      <c r="X1381" s="2088"/>
      <c r="Y1381" s="2089"/>
      <c r="Z1381" s="2085"/>
      <c r="AA1381" s="2085"/>
      <c r="AB1381" s="2085"/>
      <c r="AC1381" s="2085"/>
      <c r="AD1381" s="2085"/>
      <c r="AE1381" s="2089"/>
    </row>
    <row r="1382" spans="1:31" ht="15">
      <c r="A1382" s="403">
        <v>977</v>
      </c>
      <c r="B1382" s="403">
        <v>3</v>
      </c>
      <c r="C1382" s="1126" t="s">
        <v>2501</v>
      </c>
      <c r="D1382" s="1126" t="s">
        <v>897</v>
      </c>
      <c r="E1382" s="1126" t="s">
        <v>47</v>
      </c>
      <c r="F1382" s="1131">
        <v>5</v>
      </c>
      <c r="G1382" s="897">
        <v>3600000</v>
      </c>
      <c r="H1382" s="897">
        <f t="shared" si="225"/>
        <v>18000000</v>
      </c>
      <c r="I1382" s="896">
        <v>5</v>
      </c>
      <c r="J1382" s="897">
        <v>6000000</v>
      </c>
      <c r="K1382" s="897">
        <f t="shared" si="226"/>
        <v>30000000</v>
      </c>
      <c r="L1382" s="692">
        <f t="shared" si="222"/>
        <v>2400000</v>
      </c>
      <c r="M1382" s="403" t="s">
        <v>2496</v>
      </c>
      <c r="N1382" s="403" t="s">
        <v>2497</v>
      </c>
      <c r="O1382" s="403" t="s">
        <v>2502</v>
      </c>
      <c r="P1382" s="403" t="s">
        <v>2499</v>
      </c>
      <c r="Q1382" s="2084">
        <f t="shared" si="227"/>
        <v>1</v>
      </c>
      <c r="R1382" s="2332">
        <f t="shared" si="228"/>
        <v>5</v>
      </c>
      <c r="S1382" s="2086"/>
      <c r="T1382" s="2086"/>
      <c r="U1382" s="2086"/>
      <c r="V1382" s="2086"/>
      <c r="W1382" s="2087"/>
      <c r="X1382" s="2088"/>
      <c r="Y1382" s="2089"/>
      <c r="Z1382" s="2085"/>
      <c r="AA1382" s="2085"/>
      <c r="AB1382" s="2085"/>
      <c r="AC1382" s="2085"/>
      <c r="AD1382" s="2085"/>
      <c r="AE1382" s="2089"/>
    </row>
    <row r="1383" spans="1:31" ht="18">
      <c r="A1383" s="403">
        <v>978</v>
      </c>
      <c r="B1383" s="403">
        <v>4</v>
      </c>
      <c r="C1383" s="1126" t="s">
        <v>2503</v>
      </c>
      <c r="D1383" s="1126" t="s">
        <v>897</v>
      </c>
      <c r="E1383" s="1126" t="s">
        <v>47</v>
      </c>
      <c r="F1383" s="1131">
        <v>5</v>
      </c>
      <c r="G1383" s="897">
        <v>6600000</v>
      </c>
      <c r="H1383" s="897">
        <f t="shared" si="225"/>
        <v>33000000</v>
      </c>
      <c r="I1383" s="896">
        <v>5</v>
      </c>
      <c r="J1383" s="897">
        <v>11000000</v>
      </c>
      <c r="K1383" s="897">
        <f t="shared" si="226"/>
        <v>55000000</v>
      </c>
      <c r="L1383" s="692">
        <f t="shared" si="222"/>
        <v>4400000</v>
      </c>
      <c r="M1383" s="403" t="s">
        <v>2496</v>
      </c>
      <c r="N1383" s="403" t="s">
        <v>2497</v>
      </c>
      <c r="O1383" s="403" t="s">
        <v>2498</v>
      </c>
      <c r="P1383" s="403" t="s">
        <v>2499</v>
      </c>
      <c r="Q1383" s="2084">
        <f t="shared" si="227"/>
        <v>1</v>
      </c>
      <c r="R1383" s="2332">
        <f t="shared" si="228"/>
        <v>5</v>
      </c>
      <c r="S1383" s="2086"/>
      <c r="T1383" s="2086"/>
      <c r="U1383" s="2086"/>
      <c r="V1383" s="2086"/>
      <c r="W1383" s="2087"/>
      <c r="X1383" s="2088"/>
      <c r="Y1383" s="2089"/>
      <c r="Z1383" s="2085"/>
      <c r="AA1383" s="2085"/>
      <c r="AB1383" s="2085"/>
      <c r="AC1383" s="2085"/>
      <c r="AD1383" s="2085"/>
      <c r="AE1383" s="2089"/>
    </row>
    <row r="1384" spans="1:31" ht="18">
      <c r="A1384" s="403">
        <v>979</v>
      </c>
      <c r="B1384" s="403">
        <v>5</v>
      </c>
      <c r="C1384" s="1126" t="s">
        <v>2504</v>
      </c>
      <c r="D1384" s="1126" t="s">
        <v>897</v>
      </c>
      <c r="E1384" s="1126" t="s">
        <v>47</v>
      </c>
      <c r="F1384" s="1131">
        <v>5</v>
      </c>
      <c r="G1384" s="897">
        <v>1000000</v>
      </c>
      <c r="H1384" s="897">
        <f t="shared" si="225"/>
        <v>5000000</v>
      </c>
      <c r="I1384" s="896">
        <v>5</v>
      </c>
      <c r="J1384" s="897">
        <v>9500000</v>
      </c>
      <c r="K1384" s="897">
        <f t="shared" si="226"/>
        <v>47500000</v>
      </c>
      <c r="L1384" s="692">
        <f t="shared" si="222"/>
        <v>8500000</v>
      </c>
      <c r="M1384" s="403" t="s">
        <v>2496</v>
      </c>
      <c r="N1384" s="403" t="s">
        <v>2497</v>
      </c>
      <c r="O1384" s="403" t="s">
        <v>2505</v>
      </c>
      <c r="P1384" s="403" t="s">
        <v>2499</v>
      </c>
      <c r="Q1384" s="2084">
        <f t="shared" si="227"/>
        <v>1</v>
      </c>
      <c r="R1384" s="2332">
        <f t="shared" si="228"/>
        <v>5</v>
      </c>
      <c r="S1384" s="2086"/>
      <c r="T1384" s="2086"/>
      <c r="U1384" s="2086"/>
      <c r="V1384" s="2086"/>
      <c r="W1384" s="2087"/>
      <c r="X1384" s="2088"/>
      <c r="Y1384" s="2089"/>
      <c r="Z1384" s="2085"/>
      <c r="AA1384" s="2085"/>
      <c r="AB1384" s="2085"/>
      <c r="AC1384" s="2085"/>
      <c r="AD1384" s="2085"/>
      <c r="AE1384" s="2089"/>
    </row>
    <row r="1385" spans="1:31" ht="15">
      <c r="A1385" s="403">
        <v>980</v>
      </c>
      <c r="B1385" s="403">
        <v>6</v>
      </c>
      <c r="C1385" s="1126" t="s">
        <v>2506</v>
      </c>
      <c r="D1385" s="1126" t="s">
        <v>897</v>
      </c>
      <c r="E1385" s="1126" t="s">
        <v>47</v>
      </c>
      <c r="F1385" s="1131">
        <v>5</v>
      </c>
      <c r="G1385" s="897">
        <v>4500000</v>
      </c>
      <c r="H1385" s="897">
        <f t="shared" si="225"/>
        <v>22500000</v>
      </c>
      <c r="I1385" s="896">
        <v>5</v>
      </c>
      <c r="J1385" s="897">
        <v>7500000</v>
      </c>
      <c r="K1385" s="897">
        <f t="shared" si="226"/>
        <v>37500000</v>
      </c>
      <c r="L1385" s="692">
        <f t="shared" si="222"/>
        <v>3000000</v>
      </c>
      <c r="M1385" s="403" t="s">
        <v>2496</v>
      </c>
      <c r="N1385" s="403" t="s">
        <v>2497</v>
      </c>
      <c r="O1385" s="403" t="s">
        <v>2507</v>
      </c>
      <c r="P1385" s="403" t="s">
        <v>2499</v>
      </c>
      <c r="Q1385" s="2084">
        <f t="shared" si="227"/>
        <v>1</v>
      </c>
      <c r="R1385" s="2332">
        <f t="shared" si="228"/>
        <v>5</v>
      </c>
      <c r="S1385" s="2086"/>
      <c r="T1385" s="2086"/>
      <c r="U1385" s="2086"/>
      <c r="V1385" s="2086"/>
      <c r="W1385" s="2087"/>
      <c r="X1385" s="2088"/>
      <c r="Y1385" s="2089"/>
      <c r="Z1385" s="2085"/>
      <c r="AA1385" s="2085"/>
      <c r="AB1385" s="2085"/>
      <c r="AC1385" s="2085"/>
      <c r="AD1385" s="2085"/>
      <c r="AE1385" s="2089"/>
    </row>
    <row r="1386" spans="1:31" ht="15">
      <c r="A1386" s="403">
        <v>981</v>
      </c>
      <c r="B1386" s="403">
        <v>7</v>
      </c>
      <c r="C1386" s="1126" t="s">
        <v>2508</v>
      </c>
      <c r="D1386" s="1126" t="s">
        <v>897</v>
      </c>
      <c r="E1386" s="1126" t="s">
        <v>47</v>
      </c>
      <c r="F1386" s="1131">
        <v>5</v>
      </c>
      <c r="G1386" s="897">
        <v>4500000</v>
      </c>
      <c r="H1386" s="897">
        <f t="shared" si="225"/>
        <v>22500000</v>
      </c>
      <c r="I1386" s="896">
        <v>5</v>
      </c>
      <c r="J1386" s="897">
        <v>7500000</v>
      </c>
      <c r="K1386" s="897">
        <f t="shared" si="226"/>
        <v>37500000</v>
      </c>
      <c r="L1386" s="692">
        <f t="shared" si="222"/>
        <v>3000000</v>
      </c>
      <c r="M1386" s="403" t="s">
        <v>2496</v>
      </c>
      <c r="N1386" s="403" t="s">
        <v>2497</v>
      </c>
      <c r="O1386" s="403" t="s">
        <v>2507</v>
      </c>
      <c r="P1386" s="403" t="s">
        <v>2499</v>
      </c>
      <c r="Q1386" s="2084">
        <f t="shared" si="227"/>
        <v>1</v>
      </c>
      <c r="R1386" s="2332">
        <f t="shared" si="228"/>
        <v>5</v>
      </c>
      <c r="S1386" s="2086"/>
      <c r="T1386" s="2086"/>
      <c r="U1386" s="2086"/>
      <c r="V1386" s="2086"/>
      <c r="W1386" s="2087"/>
      <c r="X1386" s="2088"/>
      <c r="Y1386" s="2089"/>
      <c r="Z1386" s="2085"/>
      <c r="AA1386" s="2085"/>
      <c r="AB1386" s="2085"/>
      <c r="AC1386" s="2085"/>
      <c r="AD1386" s="2085"/>
      <c r="AE1386" s="2089"/>
    </row>
    <row r="1387" spans="1:31" ht="15">
      <c r="A1387" s="403">
        <v>982</v>
      </c>
      <c r="B1387" s="403">
        <v>8</v>
      </c>
      <c r="C1387" s="1126" t="s">
        <v>2509</v>
      </c>
      <c r="D1387" s="1126" t="s">
        <v>897</v>
      </c>
      <c r="E1387" s="1126" t="s">
        <v>47</v>
      </c>
      <c r="F1387" s="1131">
        <v>5</v>
      </c>
      <c r="G1387" s="897">
        <v>1000000</v>
      </c>
      <c r="H1387" s="897">
        <f t="shared" si="225"/>
        <v>5000000</v>
      </c>
      <c r="I1387" s="896">
        <v>5</v>
      </c>
      <c r="J1387" s="897">
        <v>10500000</v>
      </c>
      <c r="K1387" s="897">
        <f t="shared" si="226"/>
        <v>52500000</v>
      </c>
      <c r="L1387" s="692">
        <f t="shared" si="222"/>
        <v>9500000</v>
      </c>
      <c r="M1387" s="403" t="s">
        <v>2496</v>
      </c>
      <c r="N1387" s="403" t="s">
        <v>2497</v>
      </c>
      <c r="O1387" s="403" t="s">
        <v>2498</v>
      </c>
      <c r="P1387" s="403" t="s">
        <v>2499</v>
      </c>
      <c r="Q1387" s="2084">
        <f t="shared" si="227"/>
        <v>1</v>
      </c>
      <c r="R1387" s="2332">
        <f t="shared" si="228"/>
        <v>5</v>
      </c>
      <c r="S1387" s="2086"/>
      <c r="T1387" s="2086"/>
      <c r="U1387" s="2086"/>
      <c r="V1387" s="2086"/>
      <c r="W1387" s="2087"/>
      <c r="X1387" s="2088"/>
      <c r="Y1387" s="2089"/>
      <c r="Z1387" s="2085"/>
      <c r="AA1387" s="2085"/>
      <c r="AB1387" s="2085"/>
      <c r="AC1387" s="2085"/>
      <c r="AD1387" s="2085"/>
      <c r="AE1387" s="2089"/>
    </row>
    <row r="1388" spans="1:31" ht="15">
      <c r="A1388" s="403">
        <v>983</v>
      </c>
      <c r="B1388" s="403">
        <v>9</v>
      </c>
      <c r="C1388" s="1126" t="s">
        <v>2510</v>
      </c>
      <c r="D1388" s="1126" t="s">
        <v>897</v>
      </c>
      <c r="E1388" s="1126" t="s">
        <v>47</v>
      </c>
      <c r="F1388" s="1131">
        <v>5</v>
      </c>
      <c r="G1388" s="897">
        <v>6300000</v>
      </c>
      <c r="H1388" s="897">
        <f t="shared" si="225"/>
        <v>31500000</v>
      </c>
      <c r="I1388" s="896">
        <v>5</v>
      </c>
      <c r="J1388" s="897">
        <v>10500000</v>
      </c>
      <c r="K1388" s="897">
        <f t="shared" si="226"/>
        <v>52500000</v>
      </c>
      <c r="L1388" s="692">
        <f t="shared" si="222"/>
        <v>4200000</v>
      </c>
      <c r="M1388" s="403" t="s">
        <v>2496</v>
      </c>
      <c r="N1388" s="403" t="s">
        <v>2497</v>
      </c>
      <c r="O1388" s="403" t="s">
        <v>2498</v>
      </c>
      <c r="P1388" s="403" t="s">
        <v>2499</v>
      </c>
      <c r="Q1388" s="2084">
        <f t="shared" si="227"/>
        <v>1</v>
      </c>
      <c r="R1388" s="2332">
        <f t="shared" si="228"/>
        <v>5</v>
      </c>
      <c r="S1388" s="2086"/>
      <c r="T1388" s="2086"/>
      <c r="U1388" s="2086"/>
      <c r="V1388" s="2086"/>
      <c r="W1388" s="2087"/>
      <c r="X1388" s="2088"/>
      <c r="Y1388" s="2089"/>
      <c r="Z1388" s="2085"/>
      <c r="AA1388" s="2085"/>
      <c r="AB1388" s="2085"/>
      <c r="AC1388" s="2085"/>
      <c r="AD1388" s="2085"/>
      <c r="AE1388" s="2089"/>
    </row>
    <row r="1389" spans="1:31" ht="15">
      <c r="A1389" s="403">
        <v>984</v>
      </c>
      <c r="B1389" s="403">
        <v>10</v>
      </c>
      <c r="C1389" s="1126" t="s">
        <v>2511</v>
      </c>
      <c r="D1389" s="1126" t="s">
        <v>897</v>
      </c>
      <c r="E1389" s="1126" t="s">
        <v>47</v>
      </c>
      <c r="F1389" s="1131">
        <v>5</v>
      </c>
      <c r="G1389" s="897">
        <v>5400000</v>
      </c>
      <c r="H1389" s="897">
        <f t="shared" si="225"/>
        <v>27000000</v>
      </c>
      <c r="I1389" s="896">
        <v>5</v>
      </c>
      <c r="J1389" s="897">
        <v>9000000</v>
      </c>
      <c r="K1389" s="897">
        <f t="shared" si="226"/>
        <v>45000000</v>
      </c>
      <c r="L1389" s="692">
        <f t="shared" si="222"/>
        <v>3600000</v>
      </c>
      <c r="M1389" s="403" t="s">
        <v>2496</v>
      </c>
      <c r="N1389" s="403" t="s">
        <v>2497</v>
      </c>
      <c r="O1389" s="403" t="s">
        <v>2507</v>
      </c>
      <c r="P1389" s="403" t="s">
        <v>2499</v>
      </c>
      <c r="Q1389" s="2084">
        <f t="shared" si="227"/>
        <v>1</v>
      </c>
      <c r="R1389" s="2332">
        <f t="shared" si="228"/>
        <v>5</v>
      </c>
      <c r="S1389" s="2086"/>
      <c r="T1389" s="2086"/>
      <c r="U1389" s="2086"/>
      <c r="V1389" s="2086"/>
      <c r="W1389" s="2087"/>
      <c r="X1389" s="2088"/>
      <c r="Y1389" s="2089"/>
      <c r="Z1389" s="2085"/>
      <c r="AA1389" s="2085"/>
      <c r="AB1389" s="2085"/>
      <c r="AC1389" s="2085"/>
      <c r="AD1389" s="2085"/>
      <c r="AE1389" s="2089"/>
    </row>
    <row r="1390" spans="1:31" ht="36">
      <c r="A1390" s="403">
        <v>985</v>
      </c>
      <c r="B1390" s="403">
        <v>11</v>
      </c>
      <c r="C1390" s="1126" t="s">
        <v>2512</v>
      </c>
      <c r="D1390" s="1126" t="s">
        <v>897</v>
      </c>
      <c r="E1390" s="1126" t="s">
        <v>47</v>
      </c>
      <c r="F1390" s="1131">
        <v>5</v>
      </c>
      <c r="G1390" s="897">
        <v>5880000</v>
      </c>
      <c r="H1390" s="897">
        <f t="shared" si="225"/>
        <v>29400000</v>
      </c>
      <c r="I1390" s="896">
        <v>5</v>
      </c>
      <c r="J1390" s="897">
        <v>9800000</v>
      </c>
      <c r="K1390" s="897">
        <f t="shared" si="226"/>
        <v>49000000</v>
      </c>
      <c r="L1390" s="692">
        <f t="shared" si="222"/>
        <v>3920000</v>
      </c>
      <c r="M1390" s="403" t="s">
        <v>2496</v>
      </c>
      <c r="N1390" s="403" t="s">
        <v>2497</v>
      </c>
      <c r="O1390" s="403" t="s">
        <v>2513</v>
      </c>
      <c r="P1390" s="403" t="s">
        <v>2499</v>
      </c>
      <c r="Q1390" s="2084">
        <f t="shared" si="227"/>
        <v>1</v>
      </c>
      <c r="R1390" s="2332">
        <f t="shared" si="228"/>
        <v>5</v>
      </c>
      <c r="S1390" s="2086"/>
      <c r="T1390" s="2086"/>
      <c r="U1390" s="2086"/>
      <c r="V1390" s="2086"/>
      <c r="W1390" s="2087"/>
      <c r="X1390" s="2088"/>
      <c r="Y1390" s="2089"/>
      <c r="Z1390" s="2085"/>
      <c r="AA1390" s="2085"/>
      <c r="AB1390" s="2085"/>
      <c r="AC1390" s="2085"/>
      <c r="AD1390" s="2085"/>
      <c r="AE1390" s="2089"/>
    </row>
    <row r="1391" spans="1:31" ht="15">
      <c r="A1391" s="403">
        <v>986</v>
      </c>
      <c r="B1391" s="403">
        <v>12</v>
      </c>
      <c r="C1391" s="1126" t="s">
        <v>2514</v>
      </c>
      <c r="D1391" s="1126" t="s">
        <v>897</v>
      </c>
      <c r="E1391" s="1126" t="s">
        <v>47</v>
      </c>
      <c r="F1391" s="1131">
        <v>5</v>
      </c>
      <c r="G1391" s="897">
        <v>1000000</v>
      </c>
      <c r="H1391" s="897">
        <f t="shared" si="225"/>
        <v>5000000</v>
      </c>
      <c r="I1391" s="896">
        <v>5</v>
      </c>
      <c r="J1391" s="897">
        <v>9000000</v>
      </c>
      <c r="K1391" s="897">
        <f t="shared" si="226"/>
        <v>45000000</v>
      </c>
      <c r="L1391" s="692">
        <f t="shared" si="222"/>
        <v>8000000</v>
      </c>
      <c r="M1391" s="403" t="s">
        <v>2496</v>
      </c>
      <c r="N1391" s="403" t="s">
        <v>2497</v>
      </c>
      <c r="O1391" s="403" t="s">
        <v>2498</v>
      </c>
      <c r="P1391" s="403" t="s">
        <v>2499</v>
      </c>
      <c r="Q1391" s="2084">
        <f t="shared" si="227"/>
        <v>1</v>
      </c>
      <c r="R1391" s="2332">
        <f t="shared" si="228"/>
        <v>5</v>
      </c>
      <c r="S1391" s="2086"/>
      <c r="T1391" s="2086"/>
      <c r="U1391" s="2086"/>
      <c r="V1391" s="2086"/>
      <c r="W1391" s="2087"/>
      <c r="X1391" s="2088"/>
      <c r="Y1391" s="2089"/>
      <c r="Z1391" s="2085"/>
      <c r="AA1391" s="2085"/>
      <c r="AB1391" s="2085"/>
      <c r="AC1391" s="2085"/>
      <c r="AD1391" s="2085"/>
      <c r="AE1391" s="2089"/>
    </row>
    <row r="1392" spans="1:31" ht="18">
      <c r="A1392" s="403">
        <v>987</v>
      </c>
      <c r="B1392" s="403">
        <v>13</v>
      </c>
      <c r="C1392" s="1126" t="s">
        <v>2515</v>
      </c>
      <c r="D1392" s="1126" t="s">
        <v>897</v>
      </c>
      <c r="E1392" s="1126" t="s">
        <v>47</v>
      </c>
      <c r="F1392" s="1131">
        <v>5</v>
      </c>
      <c r="G1392" s="897">
        <v>1000000</v>
      </c>
      <c r="H1392" s="897">
        <f t="shared" si="225"/>
        <v>5000000</v>
      </c>
      <c r="I1392" s="896">
        <v>5</v>
      </c>
      <c r="J1392" s="897">
        <v>9800000</v>
      </c>
      <c r="K1392" s="897">
        <f t="shared" si="226"/>
        <v>49000000</v>
      </c>
      <c r="L1392" s="692">
        <f t="shared" si="222"/>
        <v>8800000</v>
      </c>
      <c r="M1392" s="403" t="s">
        <v>2496</v>
      </c>
      <c r="N1392" s="403" t="s">
        <v>2497</v>
      </c>
      <c r="O1392" s="403" t="s">
        <v>2498</v>
      </c>
      <c r="P1392" s="403" t="s">
        <v>2499</v>
      </c>
      <c r="Q1392" s="2084">
        <f t="shared" si="227"/>
        <v>1</v>
      </c>
      <c r="R1392" s="2332">
        <f t="shared" si="228"/>
        <v>5</v>
      </c>
      <c r="S1392" s="2086"/>
      <c r="T1392" s="2086"/>
      <c r="U1392" s="2086"/>
      <c r="V1392" s="2086"/>
      <c r="W1392" s="2087"/>
      <c r="X1392" s="2088"/>
      <c r="Y1392" s="2089"/>
      <c r="Z1392" s="2085"/>
      <c r="AA1392" s="2085"/>
      <c r="AB1392" s="2085"/>
      <c r="AC1392" s="2085"/>
      <c r="AD1392" s="2085"/>
      <c r="AE1392" s="2089"/>
    </row>
    <row r="1393" spans="1:31" ht="15">
      <c r="A1393" s="403">
        <v>988</v>
      </c>
      <c r="B1393" s="403">
        <v>14</v>
      </c>
      <c r="C1393" s="1126" t="s">
        <v>2516</v>
      </c>
      <c r="D1393" s="1126" t="s">
        <v>897</v>
      </c>
      <c r="E1393" s="1126" t="s">
        <v>47</v>
      </c>
      <c r="F1393" s="1131">
        <v>5</v>
      </c>
      <c r="G1393" s="897">
        <v>4080000</v>
      </c>
      <c r="H1393" s="897">
        <f t="shared" si="225"/>
        <v>20400000</v>
      </c>
      <c r="I1393" s="896">
        <v>5</v>
      </c>
      <c r="J1393" s="897">
        <v>6800000</v>
      </c>
      <c r="K1393" s="897">
        <f t="shared" si="226"/>
        <v>34000000</v>
      </c>
      <c r="L1393" s="692">
        <f t="shared" si="222"/>
        <v>2720000</v>
      </c>
      <c r="M1393" s="403" t="s">
        <v>2496</v>
      </c>
      <c r="N1393" s="403" t="s">
        <v>2497</v>
      </c>
      <c r="O1393" s="403" t="s">
        <v>2507</v>
      </c>
      <c r="P1393" s="403" t="s">
        <v>2499</v>
      </c>
      <c r="Q1393" s="2084">
        <f t="shared" si="227"/>
        <v>1</v>
      </c>
      <c r="R1393" s="2332">
        <f t="shared" si="228"/>
        <v>5</v>
      </c>
      <c r="S1393" s="2086"/>
      <c r="T1393" s="2086"/>
      <c r="U1393" s="2086"/>
      <c r="V1393" s="2086"/>
      <c r="W1393" s="2087"/>
      <c r="X1393" s="2088"/>
      <c r="Y1393" s="2089"/>
      <c r="Z1393" s="2085"/>
      <c r="AA1393" s="2085"/>
      <c r="AB1393" s="2085"/>
      <c r="AC1393" s="2085"/>
      <c r="AD1393" s="2085"/>
      <c r="AE1393" s="2089"/>
    </row>
    <row r="1394" spans="1:31" ht="18">
      <c r="A1394" s="403">
        <v>989</v>
      </c>
      <c r="B1394" s="403">
        <v>15</v>
      </c>
      <c r="C1394" s="1126" t="s">
        <v>2517</v>
      </c>
      <c r="D1394" s="1126" t="s">
        <v>897</v>
      </c>
      <c r="E1394" s="1126" t="s">
        <v>47</v>
      </c>
      <c r="F1394" s="1131">
        <v>200</v>
      </c>
      <c r="G1394" s="897">
        <v>320400</v>
      </c>
      <c r="H1394" s="897">
        <f t="shared" si="225"/>
        <v>64080000</v>
      </c>
      <c r="I1394" s="896">
        <v>200</v>
      </c>
      <c r="J1394" s="897">
        <v>534000</v>
      </c>
      <c r="K1394" s="897">
        <f t="shared" si="226"/>
        <v>106800000</v>
      </c>
      <c r="L1394" s="692">
        <f t="shared" si="222"/>
        <v>213600</v>
      </c>
      <c r="M1394" s="403" t="s">
        <v>2496</v>
      </c>
      <c r="N1394" s="403" t="s">
        <v>2497</v>
      </c>
      <c r="O1394" s="403" t="s">
        <v>2518</v>
      </c>
      <c r="P1394" s="403" t="s">
        <v>2499</v>
      </c>
      <c r="Q1394" s="2084">
        <f t="shared" si="227"/>
        <v>1</v>
      </c>
      <c r="R1394" s="2332">
        <f t="shared" si="228"/>
        <v>200</v>
      </c>
      <c r="S1394" s="2086"/>
      <c r="T1394" s="2086"/>
      <c r="U1394" s="2086"/>
      <c r="V1394" s="2086"/>
      <c r="W1394" s="2087"/>
      <c r="X1394" s="2088"/>
      <c r="Y1394" s="2089"/>
      <c r="Z1394" s="2085"/>
      <c r="AA1394" s="2085"/>
      <c r="AB1394" s="2085"/>
      <c r="AC1394" s="2085"/>
      <c r="AD1394" s="2085"/>
      <c r="AE1394" s="2089"/>
    </row>
    <row r="1395" spans="1:31" ht="15">
      <c r="A1395" s="403">
        <v>990</v>
      </c>
      <c r="B1395" s="403">
        <v>16</v>
      </c>
      <c r="C1395" s="1126" t="s">
        <v>2519</v>
      </c>
      <c r="D1395" s="1126" t="s">
        <v>897</v>
      </c>
      <c r="E1395" s="1126" t="s">
        <v>47</v>
      </c>
      <c r="F1395" s="1131">
        <v>20</v>
      </c>
      <c r="G1395" s="897">
        <v>320400</v>
      </c>
      <c r="H1395" s="897">
        <f t="shared" si="225"/>
        <v>6408000</v>
      </c>
      <c r="I1395" s="896">
        <v>20</v>
      </c>
      <c r="J1395" s="897">
        <v>790000</v>
      </c>
      <c r="K1395" s="897">
        <f t="shared" si="226"/>
        <v>15800000</v>
      </c>
      <c r="L1395" s="692">
        <f t="shared" si="222"/>
        <v>469600</v>
      </c>
      <c r="M1395" s="403" t="s">
        <v>2496</v>
      </c>
      <c r="N1395" s="403" t="s">
        <v>2497</v>
      </c>
      <c r="O1395" s="403" t="s">
        <v>2520</v>
      </c>
      <c r="P1395" s="403" t="s">
        <v>2499</v>
      </c>
      <c r="Q1395" s="2084">
        <f t="shared" si="227"/>
        <v>1</v>
      </c>
      <c r="R1395" s="2332">
        <f t="shared" si="228"/>
        <v>20</v>
      </c>
      <c r="S1395" s="2086"/>
      <c r="T1395" s="2086"/>
      <c r="U1395" s="2086"/>
      <c r="V1395" s="2086"/>
      <c r="W1395" s="2087"/>
      <c r="X1395" s="2088"/>
      <c r="Y1395" s="2089"/>
      <c r="Z1395" s="2085"/>
      <c r="AA1395" s="2085"/>
      <c r="AB1395" s="2085"/>
      <c r="AC1395" s="2085"/>
      <c r="AD1395" s="2085"/>
      <c r="AE1395" s="2089"/>
    </row>
    <row r="1396" spans="1:31" ht="15">
      <c r="A1396" s="403">
        <v>991</v>
      </c>
      <c r="B1396" s="403">
        <v>17</v>
      </c>
      <c r="C1396" s="1126" t="s">
        <v>2521</v>
      </c>
      <c r="D1396" s="1126" t="s">
        <v>897</v>
      </c>
      <c r="E1396" s="1126" t="s">
        <v>47</v>
      </c>
      <c r="F1396" s="1131">
        <v>20</v>
      </c>
      <c r="G1396" s="897">
        <v>65000</v>
      </c>
      <c r="H1396" s="897">
        <f t="shared" si="225"/>
        <v>1300000</v>
      </c>
      <c r="I1396" s="896">
        <v>20</v>
      </c>
      <c r="J1396" s="897">
        <v>364000</v>
      </c>
      <c r="K1396" s="897">
        <f t="shared" si="226"/>
        <v>7280000</v>
      </c>
      <c r="L1396" s="692">
        <f>J1396-G1396</f>
        <v>299000</v>
      </c>
      <c r="M1396" s="403" t="s">
        <v>2496</v>
      </c>
      <c r="N1396" s="403" t="s">
        <v>2497</v>
      </c>
      <c r="O1396" s="403" t="s">
        <v>2522</v>
      </c>
      <c r="P1396" s="403" t="s">
        <v>2499</v>
      </c>
      <c r="Q1396" s="2084">
        <f t="shared" si="227"/>
        <v>1</v>
      </c>
      <c r="R1396" s="2332">
        <f t="shared" si="228"/>
        <v>20</v>
      </c>
      <c r="S1396" s="2086"/>
      <c r="T1396" s="2086"/>
      <c r="U1396" s="2086"/>
      <c r="V1396" s="2086"/>
      <c r="W1396" s="2087"/>
      <c r="X1396" s="2088"/>
      <c r="Y1396" s="2089"/>
      <c r="Z1396" s="2085"/>
      <c r="AA1396" s="2085"/>
      <c r="AB1396" s="2085"/>
      <c r="AC1396" s="2085"/>
      <c r="AD1396" s="2085"/>
      <c r="AE1396" s="2089"/>
    </row>
    <row r="1397" spans="1:31" ht="15">
      <c r="A1397" s="403">
        <v>992</v>
      </c>
      <c r="B1397" s="403">
        <v>18</v>
      </c>
      <c r="C1397" s="1126" t="s">
        <v>2523</v>
      </c>
      <c r="D1397" s="1126" t="s">
        <v>897</v>
      </c>
      <c r="E1397" s="1126" t="s">
        <v>47</v>
      </c>
      <c r="F1397" s="1131">
        <v>5</v>
      </c>
      <c r="G1397" s="897">
        <v>2200000</v>
      </c>
      <c r="H1397" s="897">
        <f t="shared" si="225"/>
        <v>11000000</v>
      </c>
      <c r="I1397" s="896">
        <v>5</v>
      </c>
      <c r="J1397" s="897">
        <v>16000000</v>
      </c>
      <c r="K1397" s="897">
        <f t="shared" si="226"/>
        <v>80000000</v>
      </c>
      <c r="L1397" s="692">
        <f>J1397-G1397</f>
        <v>13800000</v>
      </c>
      <c r="M1397" s="403" t="s">
        <v>2496</v>
      </c>
      <c r="N1397" s="403" t="s">
        <v>2497</v>
      </c>
      <c r="O1397" s="403" t="s">
        <v>2524</v>
      </c>
      <c r="P1397" s="403" t="s">
        <v>2499</v>
      </c>
      <c r="Q1397" s="2084">
        <f t="shared" si="227"/>
        <v>1</v>
      </c>
      <c r="R1397" s="2332">
        <f t="shared" si="228"/>
        <v>5</v>
      </c>
      <c r="S1397" s="2086"/>
      <c r="T1397" s="2086"/>
      <c r="U1397" s="2086"/>
      <c r="V1397" s="2086"/>
      <c r="W1397" s="2087"/>
      <c r="X1397" s="2088"/>
      <c r="Y1397" s="2089"/>
      <c r="Z1397" s="2085"/>
      <c r="AA1397" s="2085"/>
      <c r="AB1397" s="2085"/>
      <c r="AC1397" s="2085"/>
      <c r="AD1397" s="2085"/>
      <c r="AE1397" s="2089"/>
    </row>
    <row r="1398" spans="1:31" ht="15">
      <c r="A1398" s="403">
        <v>993</v>
      </c>
      <c r="B1398" s="403">
        <v>19</v>
      </c>
      <c r="C1398" s="1126" t="s">
        <v>2525</v>
      </c>
      <c r="D1398" s="1126" t="s">
        <v>897</v>
      </c>
      <c r="E1398" s="1126" t="s">
        <v>192</v>
      </c>
      <c r="F1398" s="1131">
        <v>5</v>
      </c>
      <c r="G1398" s="897">
        <v>2200000</v>
      </c>
      <c r="H1398" s="897">
        <f t="shared" si="225"/>
        <v>11000000</v>
      </c>
      <c r="I1398" s="896">
        <v>5</v>
      </c>
      <c r="J1398" s="897">
        <v>14500000</v>
      </c>
      <c r="K1398" s="897">
        <f t="shared" si="226"/>
        <v>72500000</v>
      </c>
      <c r="L1398" s="692">
        <f t="shared" si="222"/>
        <v>12300000</v>
      </c>
      <c r="M1398" s="403" t="s">
        <v>2496</v>
      </c>
      <c r="N1398" s="403" t="s">
        <v>2497</v>
      </c>
      <c r="O1398" s="403" t="s">
        <v>2524</v>
      </c>
      <c r="P1398" s="403" t="s">
        <v>2499</v>
      </c>
      <c r="Q1398" s="2084">
        <f t="shared" si="227"/>
        <v>1</v>
      </c>
      <c r="R1398" s="2332">
        <f t="shared" si="228"/>
        <v>5</v>
      </c>
      <c r="S1398" s="2086"/>
      <c r="T1398" s="2086"/>
      <c r="U1398" s="2086"/>
      <c r="V1398" s="2086"/>
      <c r="W1398" s="2087"/>
      <c r="X1398" s="2088"/>
      <c r="Y1398" s="2089"/>
      <c r="Z1398" s="2085"/>
      <c r="AA1398" s="2085"/>
      <c r="AB1398" s="2085"/>
      <c r="AC1398" s="2085"/>
      <c r="AD1398" s="2085"/>
      <c r="AE1398" s="2089"/>
    </row>
    <row r="1399" spans="1:31" ht="15">
      <c r="A1399" s="786">
        <v>994</v>
      </c>
      <c r="B1399" s="786">
        <v>20</v>
      </c>
      <c r="C1399" s="1128" t="s">
        <v>2526</v>
      </c>
      <c r="D1399" s="1128" t="s">
        <v>897</v>
      </c>
      <c r="E1399" s="1128" t="s">
        <v>192</v>
      </c>
      <c r="F1399" s="1132">
        <v>5</v>
      </c>
      <c r="G1399" s="977">
        <v>2200000</v>
      </c>
      <c r="H1399" s="977">
        <f t="shared" si="225"/>
        <v>11000000</v>
      </c>
      <c r="I1399" s="976">
        <v>5</v>
      </c>
      <c r="J1399" s="977">
        <v>13800000</v>
      </c>
      <c r="K1399" s="977">
        <f t="shared" si="226"/>
        <v>69000000</v>
      </c>
      <c r="L1399" s="738">
        <f t="shared" si="222"/>
        <v>11600000</v>
      </c>
      <c r="M1399" s="786" t="s">
        <v>2496</v>
      </c>
      <c r="N1399" s="786" t="s">
        <v>2497</v>
      </c>
      <c r="O1399" s="786" t="s">
        <v>2527</v>
      </c>
      <c r="P1399" s="786" t="s">
        <v>2499</v>
      </c>
      <c r="Q1399" s="2084">
        <f t="shared" si="227"/>
        <v>1</v>
      </c>
      <c r="R1399" s="2332">
        <f t="shared" si="228"/>
        <v>5</v>
      </c>
      <c r="S1399" s="2086"/>
      <c r="T1399" s="2086"/>
      <c r="U1399" s="2086"/>
      <c r="V1399" s="2086"/>
      <c r="W1399" s="2087"/>
      <c r="X1399" s="2088"/>
      <c r="Y1399" s="2089"/>
      <c r="Z1399" s="2085"/>
      <c r="AA1399" s="2085"/>
      <c r="AB1399" s="2085"/>
      <c r="AC1399" s="2085"/>
      <c r="AD1399" s="2085"/>
      <c r="AE1399" s="2089"/>
    </row>
    <row r="1400" spans="1:31">
      <c r="A1400" s="247"/>
      <c r="B1400" s="142"/>
      <c r="C1400" s="2139" t="s">
        <v>2528</v>
      </c>
      <c r="D1400" s="2139"/>
      <c r="E1400" s="2139"/>
      <c r="F1400" s="2139"/>
      <c r="G1400" s="142"/>
      <c r="H1400" s="2315">
        <f>SUM(H1380:H1399)</f>
        <v>339088000</v>
      </c>
      <c r="I1400" s="142"/>
      <c r="J1400" s="142"/>
      <c r="K1400" s="1133">
        <f>SUM(K1380:K1399)</f>
        <v>962380000</v>
      </c>
      <c r="L1400" s="659"/>
      <c r="M1400" s="142"/>
      <c r="N1400" s="142"/>
      <c r="O1400" s="142"/>
      <c r="P1400" s="142"/>
      <c r="Q1400" s="115"/>
    </row>
    <row r="1401" spans="1:31">
      <c r="A1401" s="790"/>
      <c r="B1401" s="115"/>
      <c r="C1401" s="1134"/>
      <c r="D1401" s="1134"/>
      <c r="E1401" s="1134"/>
      <c r="F1401" s="1134"/>
      <c r="G1401" s="115"/>
      <c r="H1401" s="1135"/>
      <c r="I1401" s="115"/>
      <c r="J1401" s="115"/>
      <c r="K1401" s="1135"/>
      <c r="L1401" s="1136"/>
      <c r="M1401" s="115"/>
      <c r="N1401" s="115"/>
      <c r="O1401" s="115"/>
      <c r="P1401" s="115"/>
      <c r="Q1401" s="115"/>
    </row>
    <row r="1402" spans="1:31">
      <c r="A1402" s="790"/>
      <c r="B1402" s="115"/>
      <c r="C1402" s="1134"/>
      <c r="D1402" s="1134"/>
      <c r="E1402" s="1134"/>
      <c r="F1402" s="1134"/>
      <c r="G1402" s="115"/>
      <c r="H1402" s="1135"/>
      <c r="I1402" s="115"/>
      <c r="J1402" s="115"/>
      <c r="K1402" s="1135"/>
      <c r="L1402" s="1136"/>
      <c r="M1402" s="115"/>
      <c r="N1402" s="115"/>
      <c r="O1402" s="115"/>
      <c r="P1402" s="115"/>
      <c r="Q1402" s="115"/>
    </row>
    <row r="1404" spans="1:31">
      <c r="A1404" s="71" t="s">
        <v>2529</v>
      </c>
    </row>
    <row r="1405" spans="1:31" s="12" customFormat="1">
      <c r="A1405" s="2141" t="s">
        <v>5</v>
      </c>
      <c r="B1405" s="2141" t="s">
        <v>6</v>
      </c>
      <c r="C1405" s="2177" t="s">
        <v>7</v>
      </c>
      <c r="D1405" s="2156" t="s">
        <v>8</v>
      </c>
      <c r="E1405" s="2141" t="s">
        <v>9</v>
      </c>
      <c r="F1405" s="2098" t="s">
        <v>10</v>
      </c>
      <c r="G1405" s="2098"/>
      <c r="H1405" s="2098"/>
      <c r="I1405" s="2098" t="s">
        <v>11</v>
      </c>
      <c r="J1405" s="2098"/>
      <c r="K1405" s="2098"/>
      <c r="L1405" s="2175" t="s">
        <v>12</v>
      </c>
      <c r="M1405" s="9"/>
      <c r="N1405" s="9"/>
      <c r="O1405" s="9"/>
      <c r="P1405" s="2176" t="s">
        <v>13</v>
      </c>
      <c r="Q1405" s="10"/>
      <c r="R1405" s="2318"/>
      <c r="S1405" s="11"/>
    </row>
    <row r="1406" spans="1:31" s="16" customFormat="1" ht="27">
      <c r="A1406" s="2141"/>
      <c r="B1406" s="2141"/>
      <c r="C1406" s="2177"/>
      <c r="D1406" s="2156"/>
      <c r="E1406" s="2141"/>
      <c r="F1406" s="13" t="s">
        <v>14</v>
      </c>
      <c r="G1406" s="13" t="s">
        <v>15</v>
      </c>
      <c r="H1406" s="13" t="s">
        <v>16</v>
      </c>
      <c r="I1406" s="13" t="s">
        <v>14</v>
      </c>
      <c r="J1406" s="13" t="s">
        <v>15</v>
      </c>
      <c r="K1406" s="13" t="s">
        <v>16</v>
      </c>
      <c r="L1406" s="2175"/>
      <c r="M1406" s="14" t="s">
        <v>17</v>
      </c>
      <c r="N1406" s="14" t="s">
        <v>18</v>
      </c>
      <c r="O1406" s="14" t="s">
        <v>19</v>
      </c>
      <c r="P1406" s="2176"/>
      <c r="Q1406" s="10"/>
      <c r="R1406" s="2321"/>
      <c r="S1406" s="15"/>
    </row>
    <row r="1407" spans="1:31" s="70" customFormat="1">
      <c r="A1407" s="331">
        <v>1</v>
      </c>
      <c r="B1407" s="331">
        <v>2</v>
      </c>
      <c r="C1407" s="63">
        <v>3</v>
      </c>
      <c r="D1407" s="331">
        <v>4</v>
      </c>
      <c r="E1407" s="331">
        <v>5</v>
      </c>
      <c r="F1407" s="57">
        <v>6</v>
      </c>
      <c r="G1407" s="57">
        <v>7</v>
      </c>
      <c r="H1407" s="331">
        <v>8</v>
      </c>
      <c r="I1407" s="331">
        <v>9</v>
      </c>
      <c r="J1407" s="331">
        <v>10</v>
      </c>
      <c r="K1407" s="331">
        <v>11</v>
      </c>
      <c r="L1407" s="331">
        <v>12</v>
      </c>
      <c r="M1407" s="331">
        <v>9</v>
      </c>
      <c r="N1407" s="331">
        <v>10</v>
      </c>
      <c r="O1407" s="331">
        <v>11</v>
      </c>
      <c r="P1407" s="21">
        <v>13</v>
      </c>
      <c r="Q1407" s="22"/>
      <c r="R1407" s="2321"/>
      <c r="S1407" s="485"/>
    </row>
    <row r="1408" spans="1:31" ht="27">
      <c r="A1408" s="1051">
        <v>995</v>
      </c>
      <c r="B1408" s="1051">
        <v>1</v>
      </c>
      <c r="C1408" s="889" t="s">
        <v>2530</v>
      </c>
      <c r="D1408" s="889" t="s">
        <v>2332</v>
      </c>
      <c r="E1408" s="889" t="s">
        <v>192</v>
      </c>
      <c r="F1408" s="889">
        <v>5</v>
      </c>
      <c r="G1408" s="682">
        <v>3300000</v>
      </c>
      <c r="H1408" s="682">
        <f t="shared" ref="H1408:H1427" si="229">F1408*G1408</f>
        <v>16500000</v>
      </c>
      <c r="I1408" s="1137">
        <v>5</v>
      </c>
      <c r="J1408" s="892">
        <v>4500000</v>
      </c>
      <c r="K1408" s="1138">
        <f t="shared" ref="K1408:K1428" si="230">I1408*J1408</f>
        <v>22500000</v>
      </c>
      <c r="L1408" s="682">
        <f t="shared" ref="L1408:L1428" si="231">J1408-G1408</f>
        <v>1200000</v>
      </c>
      <c r="M1408" s="889" t="s">
        <v>2531</v>
      </c>
      <c r="N1408" s="889" t="s">
        <v>2532</v>
      </c>
      <c r="O1408" s="889" t="s">
        <v>2533</v>
      </c>
      <c r="P1408" s="400" t="s">
        <v>1916</v>
      </c>
      <c r="Q1408" s="2084">
        <f t="shared" ref="Q1408" si="232">R1408/F1408</f>
        <v>1</v>
      </c>
      <c r="R1408" s="2332">
        <f t="shared" ref="R1408" si="233">+F1408-(S1408+T1408+U1408+W1408+X1408+Y1408+Z1408+AA1408+AB1408+AC1408+AD1408+AE1408)</f>
        <v>5</v>
      </c>
      <c r="S1408" s="2086"/>
      <c r="T1408" s="2086"/>
      <c r="U1408" s="2086"/>
      <c r="V1408" s="2086"/>
      <c r="W1408" s="2087"/>
      <c r="X1408" s="2088"/>
      <c r="Y1408" s="2089"/>
      <c r="Z1408" s="2085"/>
      <c r="AA1408" s="2085"/>
      <c r="AB1408" s="2085"/>
      <c r="AC1408" s="2085"/>
      <c r="AD1408" s="2085"/>
      <c r="AE1408" s="2089"/>
    </row>
    <row r="1409" spans="1:31" ht="18">
      <c r="A1409" s="894">
        <v>996</v>
      </c>
      <c r="B1409" s="894">
        <v>2</v>
      </c>
      <c r="C1409" s="894" t="s">
        <v>2534</v>
      </c>
      <c r="D1409" s="894" t="s">
        <v>2332</v>
      </c>
      <c r="E1409" s="894" t="s">
        <v>47</v>
      </c>
      <c r="F1409" s="894">
        <v>20</v>
      </c>
      <c r="G1409" s="692">
        <v>1500000</v>
      </c>
      <c r="H1409" s="692">
        <f t="shared" si="229"/>
        <v>30000000</v>
      </c>
      <c r="I1409" s="1139">
        <v>20</v>
      </c>
      <c r="J1409" s="897">
        <v>2000000</v>
      </c>
      <c r="K1409" s="897">
        <f t="shared" si="230"/>
        <v>40000000</v>
      </c>
      <c r="L1409" s="692">
        <f t="shared" si="231"/>
        <v>500000</v>
      </c>
      <c r="M1409" s="894" t="s">
        <v>2531</v>
      </c>
      <c r="N1409" s="894" t="s">
        <v>2535</v>
      </c>
      <c r="O1409" s="894" t="s">
        <v>2533</v>
      </c>
      <c r="P1409" s="403" t="s">
        <v>1916</v>
      </c>
      <c r="Q1409" s="2084">
        <f t="shared" ref="Q1409:Q1428" si="234">R1409/F1409</f>
        <v>1</v>
      </c>
      <c r="R1409" s="2332">
        <f t="shared" ref="R1409:R1428" si="235">+F1409-(S1409+T1409+U1409+W1409+X1409+Y1409+Z1409+AA1409+AB1409+AC1409+AD1409+AE1409)</f>
        <v>20</v>
      </c>
      <c r="S1409" s="2086"/>
      <c r="T1409" s="2086"/>
      <c r="U1409" s="2086"/>
      <c r="V1409" s="2086"/>
      <c r="W1409" s="2087"/>
      <c r="X1409" s="2088"/>
      <c r="Y1409" s="2089"/>
      <c r="Z1409" s="2085"/>
      <c r="AA1409" s="2085"/>
      <c r="AB1409" s="2085"/>
      <c r="AC1409" s="2085"/>
      <c r="AD1409" s="2085"/>
      <c r="AE1409" s="2089"/>
    </row>
    <row r="1410" spans="1:31" ht="27">
      <c r="A1410" s="894">
        <v>997</v>
      </c>
      <c r="B1410" s="894">
        <v>3</v>
      </c>
      <c r="C1410" s="894" t="s">
        <v>2536</v>
      </c>
      <c r="D1410" s="894" t="s">
        <v>2332</v>
      </c>
      <c r="E1410" s="894" t="s">
        <v>47</v>
      </c>
      <c r="F1410" s="894">
        <v>10</v>
      </c>
      <c r="G1410" s="692">
        <v>1500000</v>
      </c>
      <c r="H1410" s="692">
        <f t="shared" si="229"/>
        <v>15000000</v>
      </c>
      <c r="I1410" s="1139">
        <v>10</v>
      </c>
      <c r="J1410" s="897">
        <v>2000000</v>
      </c>
      <c r="K1410" s="897">
        <f t="shared" si="230"/>
        <v>20000000</v>
      </c>
      <c r="L1410" s="692">
        <f t="shared" si="231"/>
        <v>500000</v>
      </c>
      <c r="M1410" s="894" t="s">
        <v>2531</v>
      </c>
      <c r="N1410" s="692" t="s">
        <v>2537</v>
      </c>
      <c r="O1410" s="894" t="s">
        <v>2533</v>
      </c>
      <c r="P1410" s="403" t="s">
        <v>1916</v>
      </c>
      <c r="Q1410" s="2084">
        <f t="shared" si="234"/>
        <v>1</v>
      </c>
      <c r="R1410" s="2332">
        <f t="shared" si="235"/>
        <v>10</v>
      </c>
      <c r="S1410" s="2086"/>
      <c r="T1410" s="2086"/>
      <c r="U1410" s="2086"/>
      <c r="V1410" s="2086"/>
      <c r="W1410" s="2087"/>
      <c r="X1410" s="2088"/>
      <c r="Y1410" s="2089"/>
      <c r="Z1410" s="2085"/>
      <c r="AA1410" s="2085"/>
      <c r="AB1410" s="2085"/>
      <c r="AC1410" s="2085"/>
      <c r="AD1410" s="2085"/>
      <c r="AE1410" s="2089"/>
    </row>
    <row r="1411" spans="1:31" ht="27">
      <c r="A1411" s="894">
        <v>998</v>
      </c>
      <c r="B1411" s="894">
        <v>4</v>
      </c>
      <c r="C1411" s="894" t="s">
        <v>2538</v>
      </c>
      <c r="D1411" s="894" t="s">
        <v>2332</v>
      </c>
      <c r="E1411" s="894" t="s">
        <v>47</v>
      </c>
      <c r="F1411" s="894">
        <v>10</v>
      </c>
      <c r="G1411" s="692">
        <v>2200000</v>
      </c>
      <c r="H1411" s="692">
        <f t="shared" si="229"/>
        <v>22000000</v>
      </c>
      <c r="I1411" s="1139">
        <v>10</v>
      </c>
      <c r="J1411" s="897">
        <v>2700000</v>
      </c>
      <c r="K1411" s="897">
        <f t="shared" si="230"/>
        <v>27000000</v>
      </c>
      <c r="L1411" s="692">
        <f t="shared" si="231"/>
        <v>500000</v>
      </c>
      <c r="M1411" s="894" t="s">
        <v>2531</v>
      </c>
      <c r="N1411" s="692" t="s">
        <v>2539</v>
      </c>
      <c r="O1411" s="894" t="s">
        <v>2533</v>
      </c>
      <c r="P1411" s="403" t="s">
        <v>1916</v>
      </c>
      <c r="Q1411" s="2084">
        <f t="shared" si="234"/>
        <v>1</v>
      </c>
      <c r="R1411" s="2332">
        <f t="shared" si="235"/>
        <v>10</v>
      </c>
      <c r="S1411" s="2086"/>
      <c r="T1411" s="2086"/>
      <c r="U1411" s="2086"/>
      <c r="V1411" s="2086"/>
      <c r="W1411" s="2087"/>
      <c r="X1411" s="2088"/>
      <c r="Y1411" s="2089"/>
      <c r="Z1411" s="2085"/>
      <c r="AA1411" s="2085"/>
      <c r="AB1411" s="2085"/>
      <c r="AC1411" s="2085"/>
      <c r="AD1411" s="2085"/>
      <c r="AE1411" s="2089"/>
    </row>
    <row r="1412" spans="1:31" ht="27">
      <c r="A1412" s="894">
        <v>999</v>
      </c>
      <c r="B1412" s="894">
        <v>5</v>
      </c>
      <c r="C1412" s="894" t="s">
        <v>2540</v>
      </c>
      <c r="D1412" s="894" t="s">
        <v>2332</v>
      </c>
      <c r="E1412" s="894" t="s">
        <v>47</v>
      </c>
      <c r="F1412" s="894">
        <v>50</v>
      </c>
      <c r="G1412" s="692">
        <v>350000</v>
      </c>
      <c r="H1412" s="692">
        <f t="shared" si="229"/>
        <v>17500000</v>
      </c>
      <c r="I1412" s="1139">
        <v>50</v>
      </c>
      <c r="J1412" s="897">
        <v>650000</v>
      </c>
      <c r="K1412" s="897">
        <f t="shared" si="230"/>
        <v>32500000</v>
      </c>
      <c r="L1412" s="692">
        <f t="shared" si="231"/>
        <v>300000</v>
      </c>
      <c r="M1412" s="894" t="s">
        <v>2531</v>
      </c>
      <c r="N1412" s="692" t="s">
        <v>2541</v>
      </c>
      <c r="O1412" s="894" t="s">
        <v>2533</v>
      </c>
      <c r="P1412" s="403" t="s">
        <v>1916</v>
      </c>
      <c r="Q1412" s="2084">
        <f t="shared" si="234"/>
        <v>1</v>
      </c>
      <c r="R1412" s="2332">
        <f t="shared" si="235"/>
        <v>50</v>
      </c>
      <c r="S1412" s="2086"/>
      <c r="T1412" s="2086"/>
      <c r="U1412" s="2086"/>
      <c r="V1412" s="2086"/>
      <c r="W1412" s="2087"/>
      <c r="X1412" s="2088"/>
      <c r="Y1412" s="2089"/>
      <c r="Z1412" s="2085"/>
      <c r="AA1412" s="2085"/>
      <c r="AB1412" s="2085"/>
      <c r="AC1412" s="2085"/>
      <c r="AD1412" s="2085"/>
      <c r="AE1412" s="2089"/>
    </row>
    <row r="1413" spans="1:31" ht="27">
      <c r="A1413" s="894">
        <v>1000</v>
      </c>
      <c r="B1413" s="894">
        <v>6</v>
      </c>
      <c r="C1413" s="894" t="s">
        <v>2542</v>
      </c>
      <c r="D1413" s="894" t="s">
        <v>2332</v>
      </c>
      <c r="E1413" s="894" t="s">
        <v>47</v>
      </c>
      <c r="F1413" s="894">
        <v>50</v>
      </c>
      <c r="G1413" s="692">
        <v>2200000</v>
      </c>
      <c r="H1413" s="692">
        <f t="shared" si="229"/>
        <v>110000000</v>
      </c>
      <c r="I1413" s="1139">
        <v>50</v>
      </c>
      <c r="J1413" s="897">
        <v>2900000</v>
      </c>
      <c r="K1413" s="897">
        <f t="shared" si="230"/>
        <v>145000000</v>
      </c>
      <c r="L1413" s="692">
        <f t="shared" si="231"/>
        <v>700000</v>
      </c>
      <c r="M1413" s="894" t="s">
        <v>2531</v>
      </c>
      <c r="N1413" s="692" t="s">
        <v>2543</v>
      </c>
      <c r="O1413" s="894" t="s">
        <v>2533</v>
      </c>
      <c r="P1413" s="403" t="s">
        <v>1916</v>
      </c>
      <c r="Q1413" s="2084">
        <f t="shared" si="234"/>
        <v>1</v>
      </c>
      <c r="R1413" s="2332">
        <f t="shared" si="235"/>
        <v>50</v>
      </c>
      <c r="S1413" s="2086"/>
      <c r="T1413" s="2086"/>
      <c r="U1413" s="2086"/>
      <c r="V1413" s="2086"/>
      <c r="W1413" s="2087"/>
      <c r="X1413" s="2088"/>
      <c r="Y1413" s="2089"/>
      <c r="Z1413" s="2085"/>
      <c r="AA1413" s="2085"/>
      <c r="AB1413" s="2085"/>
      <c r="AC1413" s="2085"/>
      <c r="AD1413" s="2085"/>
      <c r="AE1413" s="2089"/>
    </row>
    <row r="1414" spans="1:31" ht="18">
      <c r="A1414" s="894">
        <v>1001</v>
      </c>
      <c r="B1414" s="894">
        <v>7</v>
      </c>
      <c r="C1414" s="894" t="s">
        <v>2544</v>
      </c>
      <c r="D1414" s="894" t="s">
        <v>2332</v>
      </c>
      <c r="E1414" s="894" t="s">
        <v>47</v>
      </c>
      <c r="F1414" s="894">
        <v>1</v>
      </c>
      <c r="G1414" s="692">
        <v>15000000</v>
      </c>
      <c r="H1414" s="692">
        <f t="shared" si="229"/>
        <v>15000000</v>
      </c>
      <c r="I1414" s="1139">
        <v>1</v>
      </c>
      <c r="J1414" s="897">
        <v>17000000</v>
      </c>
      <c r="K1414" s="897">
        <f t="shared" si="230"/>
        <v>17000000</v>
      </c>
      <c r="L1414" s="692">
        <f t="shared" si="231"/>
        <v>2000000</v>
      </c>
      <c r="M1414" s="894" t="s">
        <v>2531</v>
      </c>
      <c r="N1414" s="692" t="s">
        <v>2545</v>
      </c>
      <c r="O1414" s="894" t="s">
        <v>2533</v>
      </c>
      <c r="P1414" s="403" t="s">
        <v>1916</v>
      </c>
      <c r="Q1414" s="2084">
        <f t="shared" si="234"/>
        <v>1</v>
      </c>
      <c r="R1414" s="2332">
        <f t="shared" si="235"/>
        <v>1</v>
      </c>
      <c r="S1414" s="2086"/>
      <c r="T1414" s="2086"/>
      <c r="U1414" s="2086"/>
      <c r="V1414" s="2086"/>
      <c r="W1414" s="2087"/>
      <c r="X1414" s="2088"/>
      <c r="Y1414" s="2089"/>
      <c r="Z1414" s="2085"/>
      <c r="AA1414" s="2085"/>
      <c r="AB1414" s="2085"/>
      <c r="AC1414" s="2085"/>
      <c r="AD1414" s="2085"/>
      <c r="AE1414" s="2089"/>
    </row>
    <row r="1415" spans="1:31" ht="18">
      <c r="A1415" s="894">
        <v>1002</v>
      </c>
      <c r="B1415" s="894">
        <v>8</v>
      </c>
      <c r="C1415" s="894" t="s">
        <v>2546</v>
      </c>
      <c r="D1415" s="894" t="s">
        <v>2332</v>
      </c>
      <c r="E1415" s="894" t="s">
        <v>47</v>
      </c>
      <c r="F1415" s="894">
        <v>2</v>
      </c>
      <c r="G1415" s="692">
        <v>7200000</v>
      </c>
      <c r="H1415" s="692">
        <f t="shared" si="229"/>
        <v>14400000</v>
      </c>
      <c r="I1415" s="1139">
        <v>2</v>
      </c>
      <c r="J1415" s="897">
        <v>8000000</v>
      </c>
      <c r="K1415" s="897">
        <f t="shared" si="230"/>
        <v>16000000</v>
      </c>
      <c r="L1415" s="692">
        <f t="shared" si="231"/>
        <v>800000</v>
      </c>
      <c r="M1415" s="894" t="s">
        <v>2531</v>
      </c>
      <c r="N1415" s="692" t="s">
        <v>2547</v>
      </c>
      <c r="O1415" s="894" t="s">
        <v>2533</v>
      </c>
      <c r="P1415" s="403" t="s">
        <v>1916</v>
      </c>
      <c r="Q1415" s="2084">
        <f t="shared" si="234"/>
        <v>1</v>
      </c>
      <c r="R1415" s="2332">
        <f t="shared" si="235"/>
        <v>2</v>
      </c>
      <c r="S1415" s="2086"/>
      <c r="T1415" s="2086"/>
      <c r="U1415" s="2086"/>
      <c r="V1415" s="2086"/>
      <c r="W1415" s="2087"/>
      <c r="X1415" s="2088"/>
      <c r="Y1415" s="2089"/>
      <c r="Z1415" s="2085"/>
      <c r="AA1415" s="2085"/>
      <c r="AB1415" s="2085"/>
      <c r="AC1415" s="2085"/>
      <c r="AD1415" s="2085"/>
      <c r="AE1415" s="2089"/>
    </row>
    <row r="1416" spans="1:31" ht="18">
      <c r="A1416" s="894">
        <v>1003</v>
      </c>
      <c r="B1416" s="894">
        <v>9</v>
      </c>
      <c r="C1416" s="894" t="s">
        <v>2548</v>
      </c>
      <c r="D1416" s="894" t="s">
        <v>2332</v>
      </c>
      <c r="E1416" s="894" t="s">
        <v>47</v>
      </c>
      <c r="F1416" s="894">
        <v>5</v>
      </c>
      <c r="G1416" s="692">
        <v>10500000</v>
      </c>
      <c r="H1416" s="692">
        <f t="shared" si="229"/>
        <v>52500000</v>
      </c>
      <c r="I1416" s="1139">
        <v>5</v>
      </c>
      <c r="J1416" s="897">
        <v>12000000</v>
      </c>
      <c r="K1416" s="897">
        <f t="shared" si="230"/>
        <v>60000000</v>
      </c>
      <c r="L1416" s="692">
        <f t="shared" si="231"/>
        <v>1500000</v>
      </c>
      <c r="M1416" s="894" t="s">
        <v>2531</v>
      </c>
      <c r="N1416" s="692" t="s">
        <v>2549</v>
      </c>
      <c r="O1416" s="894" t="s">
        <v>2533</v>
      </c>
      <c r="P1416" s="403" t="s">
        <v>1916</v>
      </c>
      <c r="Q1416" s="2084">
        <f t="shared" si="234"/>
        <v>1</v>
      </c>
      <c r="R1416" s="2332">
        <f t="shared" si="235"/>
        <v>5</v>
      </c>
      <c r="S1416" s="2086"/>
      <c r="T1416" s="2086"/>
      <c r="U1416" s="2086"/>
      <c r="V1416" s="2086"/>
      <c r="W1416" s="2087"/>
      <c r="X1416" s="2088"/>
      <c r="Y1416" s="2089"/>
      <c r="Z1416" s="2085"/>
      <c r="AA1416" s="2085"/>
      <c r="AB1416" s="2085"/>
      <c r="AC1416" s="2085"/>
      <c r="AD1416" s="2085"/>
      <c r="AE1416" s="2089"/>
    </row>
    <row r="1417" spans="1:31" ht="18">
      <c r="A1417" s="894">
        <v>1004</v>
      </c>
      <c r="B1417" s="894">
        <v>10</v>
      </c>
      <c r="C1417" s="894" t="s">
        <v>2550</v>
      </c>
      <c r="D1417" s="894" t="s">
        <v>2332</v>
      </c>
      <c r="E1417" s="894" t="s">
        <v>47</v>
      </c>
      <c r="F1417" s="894">
        <v>5</v>
      </c>
      <c r="G1417" s="692">
        <v>5900000</v>
      </c>
      <c r="H1417" s="692">
        <f t="shared" si="229"/>
        <v>29500000</v>
      </c>
      <c r="I1417" s="1139">
        <v>5</v>
      </c>
      <c r="J1417" s="897">
        <v>6000000</v>
      </c>
      <c r="K1417" s="897">
        <f t="shared" si="230"/>
        <v>30000000</v>
      </c>
      <c r="L1417" s="692">
        <f t="shared" si="231"/>
        <v>100000</v>
      </c>
      <c r="M1417" s="894" t="s">
        <v>2531</v>
      </c>
      <c r="N1417" s="692" t="s">
        <v>2551</v>
      </c>
      <c r="O1417" s="894" t="s">
        <v>2533</v>
      </c>
      <c r="P1417" s="403" t="s">
        <v>1916</v>
      </c>
      <c r="Q1417" s="2084">
        <f t="shared" si="234"/>
        <v>1</v>
      </c>
      <c r="R1417" s="2332">
        <f t="shared" si="235"/>
        <v>5</v>
      </c>
      <c r="S1417" s="2086"/>
      <c r="T1417" s="2086"/>
      <c r="U1417" s="2086"/>
      <c r="V1417" s="2086"/>
      <c r="W1417" s="2087"/>
      <c r="X1417" s="2088"/>
      <c r="Y1417" s="2089"/>
      <c r="Z1417" s="2085"/>
      <c r="AA1417" s="2085"/>
      <c r="AB1417" s="2085"/>
      <c r="AC1417" s="2085"/>
      <c r="AD1417" s="2085"/>
      <c r="AE1417" s="2089"/>
    </row>
    <row r="1418" spans="1:31" ht="18">
      <c r="A1418" s="894">
        <v>1005</v>
      </c>
      <c r="B1418" s="894">
        <v>11</v>
      </c>
      <c r="C1418" s="894" t="s">
        <v>2552</v>
      </c>
      <c r="D1418" s="894" t="s">
        <v>2332</v>
      </c>
      <c r="E1418" s="894" t="s">
        <v>47</v>
      </c>
      <c r="F1418" s="894">
        <v>5</v>
      </c>
      <c r="G1418" s="692">
        <v>9500000</v>
      </c>
      <c r="H1418" s="692">
        <f t="shared" si="229"/>
        <v>47500000</v>
      </c>
      <c r="I1418" s="1139">
        <v>5</v>
      </c>
      <c r="J1418" s="897">
        <v>10000000</v>
      </c>
      <c r="K1418" s="897">
        <f t="shared" si="230"/>
        <v>50000000</v>
      </c>
      <c r="L1418" s="692">
        <f t="shared" si="231"/>
        <v>500000</v>
      </c>
      <c r="M1418" s="894" t="s">
        <v>2531</v>
      </c>
      <c r="N1418" s="692" t="s">
        <v>2553</v>
      </c>
      <c r="O1418" s="894" t="s">
        <v>2533</v>
      </c>
      <c r="P1418" s="403" t="s">
        <v>1916</v>
      </c>
      <c r="Q1418" s="2084">
        <f t="shared" si="234"/>
        <v>1</v>
      </c>
      <c r="R1418" s="2332">
        <f t="shared" si="235"/>
        <v>5</v>
      </c>
      <c r="S1418" s="2086"/>
      <c r="T1418" s="2086"/>
      <c r="U1418" s="2086"/>
      <c r="V1418" s="2086"/>
      <c r="W1418" s="2087"/>
      <c r="X1418" s="2088"/>
      <c r="Y1418" s="2089"/>
      <c r="Z1418" s="2085"/>
      <c r="AA1418" s="2085"/>
      <c r="AB1418" s="2085"/>
      <c r="AC1418" s="2085"/>
      <c r="AD1418" s="2085"/>
      <c r="AE1418" s="2089"/>
    </row>
    <row r="1419" spans="1:31" ht="18">
      <c r="A1419" s="894">
        <v>1006</v>
      </c>
      <c r="B1419" s="894">
        <v>12</v>
      </c>
      <c r="C1419" s="894" t="s">
        <v>2554</v>
      </c>
      <c r="D1419" s="894" t="s">
        <v>2332</v>
      </c>
      <c r="E1419" s="894" t="s">
        <v>47</v>
      </c>
      <c r="F1419" s="894">
        <v>5</v>
      </c>
      <c r="G1419" s="692">
        <v>15300000</v>
      </c>
      <c r="H1419" s="692">
        <f t="shared" si="229"/>
        <v>76500000</v>
      </c>
      <c r="I1419" s="1139">
        <v>5</v>
      </c>
      <c r="J1419" s="897">
        <v>15500000</v>
      </c>
      <c r="K1419" s="897">
        <f t="shared" si="230"/>
        <v>77500000</v>
      </c>
      <c r="L1419" s="692">
        <f t="shared" si="231"/>
        <v>200000</v>
      </c>
      <c r="M1419" s="894" t="s">
        <v>2531</v>
      </c>
      <c r="N1419" s="692" t="s">
        <v>2555</v>
      </c>
      <c r="O1419" s="894" t="s">
        <v>2533</v>
      </c>
      <c r="P1419" s="403" t="s">
        <v>1916</v>
      </c>
      <c r="Q1419" s="2084">
        <f t="shared" si="234"/>
        <v>1</v>
      </c>
      <c r="R1419" s="2332">
        <f t="shared" si="235"/>
        <v>5</v>
      </c>
      <c r="S1419" s="2086"/>
      <c r="T1419" s="2086"/>
      <c r="U1419" s="2086"/>
      <c r="V1419" s="2086"/>
      <c r="W1419" s="2087"/>
      <c r="X1419" s="2088"/>
      <c r="Y1419" s="2089"/>
      <c r="Z1419" s="2085"/>
      <c r="AA1419" s="2085"/>
      <c r="AB1419" s="2085"/>
      <c r="AC1419" s="2085"/>
      <c r="AD1419" s="2085"/>
      <c r="AE1419" s="2089"/>
    </row>
    <row r="1420" spans="1:31" ht="18">
      <c r="A1420" s="894">
        <v>1007</v>
      </c>
      <c r="B1420" s="894">
        <v>13</v>
      </c>
      <c r="C1420" s="894" t="s">
        <v>2556</v>
      </c>
      <c r="D1420" s="894" t="s">
        <v>2332</v>
      </c>
      <c r="E1420" s="894" t="s">
        <v>47</v>
      </c>
      <c r="F1420" s="894">
        <v>10</v>
      </c>
      <c r="G1420" s="692">
        <v>1500000</v>
      </c>
      <c r="H1420" s="692">
        <f t="shared" si="229"/>
        <v>15000000</v>
      </c>
      <c r="I1420" s="1139">
        <v>10</v>
      </c>
      <c r="J1420" s="897">
        <v>2350000</v>
      </c>
      <c r="K1420" s="897">
        <f t="shared" si="230"/>
        <v>23500000</v>
      </c>
      <c r="L1420" s="692">
        <f t="shared" si="231"/>
        <v>850000</v>
      </c>
      <c r="M1420" s="894" t="s">
        <v>2531</v>
      </c>
      <c r="N1420" s="692" t="s">
        <v>2557</v>
      </c>
      <c r="O1420" s="894" t="s">
        <v>2533</v>
      </c>
      <c r="P1420" s="403" t="s">
        <v>1916</v>
      </c>
      <c r="Q1420" s="2084">
        <f t="shared" si="234"/>
        <v>1</v>
      </c>
      <c r="R1420" s="2332">
        <f t="shared" si="235"/>
        <v>10</v>
      </c>
      <c r="S1420" s="2086"/>
      <c r="T1420" s="2086"/>
      <c r="U1420" s="2086"/>
      <c r="V1420" s="2086"/>
      <c r="W1420" s="2087"/>
      <c r="X1420" s="2088"/>
      <c r="Y1420" s="2089"/>
      <c r="Z1420" s="2085"/>
      <c r="AA1420" s="2085"/>
      <c r="AB1420" s="2085"/>
      <c r="AC1420" s="2085"/>
      <c r="AD1420" s="2085"/>
      <c r="AE1420" s="2089"/>
    </row>
    <row r="1421" spans="1:31" ht="99">
      <c r="A1421" s="894">
        <v>1008</v>
      </c>
      <c r="B1421" s="894">
        <v>14</v>
      </c>
      <c r="C1421" s="894" t="s">
        <v>2558</v>
      </c>
      <c r="D1421" s="894" t="s">
        <v>2332</v>
      </c>
      <c r="E1421" s="894" t="s">
        <v>47</v>
      </c>
      <c r="F1421" s="894">
        <v>10</v>
      </c>
      <c r="G1421" s="692">
        <v>2200000</v>
      </c>
      <c r="H1421" s="692">
        <f t="shared" si="229"/>
        <v>22000000</v>
      </c>
      <c r="I1421" s="1139">
        <v>10</v>
      </c>
      <c r="J1421" s="897">
        <v>2350000</v>
      </c>
      <c r="K1421" s="897">
        <f t="shared" si="230"/>
        <v>23500000</v>
      </c>
      <c r="L1421" s="692">
        <f t="shared" si="231"/>
        <v>150000</v>
      </c>
      <c r="M1421" s="894" t="s">
        <v>2531</v>
      </c>
      <c r="N1421" s="692" t="s">
        <v>2559</v>
      </c>
      <c r="O1421" s="894" t="s">
        <v>2533</v>
      </c>
      <c r="P1421" s="403" t="s">
        <v>1916</v>
      </c>
      <c r="Q1421" s="2084">
        <f t="shared" si="234"/>
        <v>1</v>
      </c>
      <c r="R1421" s="2332">
        <f t="shared" si="235"/>
        <v>10</v>
      </c>
      <c r="S1421" s="2086"/>
      <c r="T1421" s="2086"/>
      <c r="U1421" s="2086"/>
      <c r="V1421" s="2086"/>
      <c r="W1421" s="2087"/>
      <c r="X1421" s="2088"/>
      <c r="Y1421" s="2089"/>
      <c r="Z1421" s="2085"/>
      <c r="AA1421" s="2085"/>
      <c r="AB1421" s="2085"/>
      <c r="AC1421" s="2085"/>
      <c r="AD1421" s="2085"/>
      <c r="AE1421" s="2089"/>
    </row>
    <row r="1422" spans="1:31" ht="27">
      <c r="A1422" s="894">
        <v>1009</v>
      </c>
      <c r="B1422" s="894">
        <v>15</v>
      </c>
      <c r="C1422" s="894" t="s">
        <v>2560</v>
      </c>
      <c r="D1422" s="894" t="s">
        <v>2332</v>
      </c>
      <c r="E1422" s="894" t="s">
        <v>47</v>
      </c>
      <c r="F1422" s="894">
        <v>10</v>
      </c>
      <c r="G1422" s="692">
        <v>1800000</v>
      </c>
      <c r="H1422" s="692">
        <f t="shared" si="229"/>
        <v>18000000</v>
      </c>
      <c r="I1422" s="1139">
        <v>10</v>
      </c>
      <c r="J1422" s="897">
        <v>2350000</v>
      </c>
      <c r="K1422" s="897">
        <f t="shared" si="230"/>
        <v>23500000</v>
      </c>
      <c r="L1422" s="692">
        <f t="shared" si="231"/>
        <v>550000</v>
      </c>
      <c r="M1422" s="894" t="s">
        <v>2531</v>
      </c>
      <c r="N1422" s="692" t="s">
        <v>2561</v>
      </c>
      <c r="O1422" s="894" t="s">
        <v>2533</v>
      </c>
      <c r="P1422" s="403" t="s">
        <v>1916</v>
      </c>
      <c r="Q1422" s="2084">
        <f t="shared" si="234"/>
        <v>1</v>
      </c>
      <c r="R1422" s="2332">
        <f t="shared" si="235"/>
        <v>10</v>
      </c>
      <c r="S1422" s="2086"/>
      <c r="T1422" s="2086"/>
      <c r="U1422" s="2086"/>
      <c r="V1422" s="2086"/>
      <c r="W1422" s="2087"/>
      <c r="X1422" s="2088"/>
      <c r="Y1422" s="2089"/>
      <c r="Z1422" s="2085"/>
      <c r="AA1422" s="2085"/>
      <c r="AB1422" s="2085"/>
      <c r="AC1422" s="2085"/>
      <c r="AD1422" s="2085"/>
      <c r="AE1422" s="2089"/>
    </row>
    <row r="1423" spans="1:31" ht="27">
      <c r="A1423" s="894">
        <v>1010</v>
      </c>
      <c r="B1423" s="894">
        <v>16</v>
      </c>
      <c r="C1423" s="894" t="s">
        <v>2562</v>
      </c>
      <c r="D1423" s="894" t="s">
        <v>2332</v>
      </c>
      <c r="E1423" s="894" t="s">
        <v>47</v>
      </c>
      <c r="F1423" s="894">
        <v>10</v>
      </c>
      <c r="G1423" s="692">
        <v>1800000</v>
      </c>
      <c r="H1423" s="692">
        <f t="shared" si="229"/>
        <v>18000000</v>
      </c>
      <c r="I1423" s="1139">
        <v>10</v>
      </c>
      <c r="J1423" s="897">
        <v>2350000</v>
      </c>
      <c r="K1423" s="897">
        <f t="shared" si="230"/>
        <v>23500000</v>
      </c>
      <c r="L1423" s="692">
        <f t="shared" si="231"/>
        <v>550000</v>
      </c>
      <c r="M1423" s="894" t="s">
        <v>2531</v>
      </c>
      <c r="N1423" s="692" t="s">
        <v>2563</v>
      </c>
      <c r="O1423" s="894" t="s">
        <v>2533</v>
      </c>
      <c r="P1423" s="403" t="s">
        <v>1916</v>
      </c>
      <c r="Q1423" s="2084">
        <f t="shared" si="234"/>
        <v>1</v>
      </c>
      <c r="R1423" s="2332">
        <f t="shared" si="235"/>
        <v>10</v>
      </c>
      <c r="S1423" s="2086"/>
      <c r="T1423" s="2086"/>
      <c r="U1423" s="2086"/>
      <c r="V1423" s="2086"/>
      <c r="W1423" s="2087"/>
      <c r="X1423" s="2088"/>
      <c r="Y1423" s="2089"/>
      <c r="Z1423" s="2085"/>
      <c r="AA1423" s="2085"/>
      <c r="AB1423" s="2085"/>
      <c r="AC1423" s="2085"/>
      <c r="AD1423" s="2085"/>
      <c r="AE1423" s="2089"/>
    </row>
    <row r="1424" spans="1:31" ht="45">
      <c r="A1424" s="894">
        <v>1011</v>
      </c>
      <c r="B1424" s="894">
        <v>17</v>
      </c>
      <c r="C1424" s="894" t="s">
        <v>2564</v>
      </c>
      <c r="D1424" s="894" t="s">
        <v>2332</v>
      </c>
      <c r="E1424" s="894" t="s">
        <v>47</v>
      </c>
      <c r="F1424" s="894">
        <v>20</v>
      </c>
      <c r="G1424" s="692">
        <v>3500000</v>
      </c>
      <c r="H1424" s="692">
        <f t="shared" si="229"/>
        <v>70000000</v>
      </c>
      <c r="I1424" s="1139">
        <v>20</v>
      </c>
      <c r="J1424" s="897">
        <v>4500000</v>
      </c>
      <c r="K1424" s="897">
        <f t="shared" si="230"/>
        <v>90000000</v>
      </c>
      <c r="L1424" s="692">
        <f t="shared" si="231"/>
        <v>1000000</v>
      </c>
      <c r="M1424" s="894" t="s">
        <v>2531</v>
      </c>
      <c r="N1424" s="692" t="s">
        <v>2565</v>
      </c>
      <c r="O1424" s="894" t="s">
        <v>2533</v>
      </c>
      <c r="P1424" s="403" t="s">
        <v>1916</v>
      </c>
      <c r="Q1424" s="2084">
        <f t="shared" si="234"/>
        <v>1</v>
      </c>
      <c r="R1424" s="2332">
        <f t="shared" si="235"/>
        <v>20</v>
      </c>
      <c r="S1424" s="2086"/>
      <c r="T1424" s="2086"/>
      <c r="U1424" s="2086"/>
      <c r="V1424" s="2086"/>
      <c r="W1424" s="2087"/>
      <c r="X1424" s="2088"/>
      <c r="Y1424" s="2089"/>
      <c r="Z1424" s="2085"/>
      <c r="AA1424" s="2085"/>
      <c r="AB1424" s="2085"/>
      <c r="AC1424" s="2085"/>
      <c r="AD1424" s="2085"/>
      <c r="AE1424" s="2089"/>
    </row>
    <row r="1425" spans="1:31" ht="36">
      <c r="A1425" s="894">
        <v>1012</v>
      </c>
      <c r="B1425" s="894">
        <v>18</v>
      </c>
      <c r="C1425" s="894" t="s">
        <v>2566</v>
      </c>
      <c r="D1425" s="894" t="s">
        <v>2332</v>
      </c>
      <c r="E1425" s="894" t="s">
        <v>47</v>
      </c>
      <c r="F1425" s="894">
        <v>10</v>
      </c>
      <c r="G1425" s="692">
        <v>1800000</v>
      </c>
      <c r="H1425" s="692">
        <f t="shared" si="229"/>
        <v>18000000</v>
      </c>
      <c r="I1425" s="1139">
        <v>10</v>
      </c>
      <c r="J1425" s="897">
        <v>2500000</v>
      </c>
      <c r="K1425" s="897">
        <f t="shared" si="230"/>
        <v>25000000</v>
      </c>
      <c r="L1425" s="692">
        <f t="shared" si="231"/>
        <v>700000</v>
      </c>
      <c r="M1425" s="894" t="s">
        <v>2531</v>
      </c>
      <c r="N1425" s="692" t="s">
        <v>2567</v>
      </c>
      <c r="O1425" s="894" t="s">
        <v>2533</v>
      </c>
      <c r="P1425" s="403" t="s">
        <v>1916</v>
      </c>
      <c r="Q1425" s="2084">
        <f t="shared" si="234"/>
        <v>1</v>
      </c>
      <c r="R1425" s="2332">
        <f t="shared" si="235"/>
        <v>10</v>
      </c>
      <c r="S1425" s="2086"/>
      <c r="T1425" s="2086"/>
      <c r="U1425" s="2086"/>
      <c r="V1425" s="2086"/>
      <c r="W1425" s="2087"/>
      <c r="X1425" s="2088"/>
      <c r="Y1425" s="2089"/>
      <c r="Z1425" s="2085"/>
      <c r="AA1425" s="2085"/>
      <c r="AB1425" s="2085"/>
      <c r="AC1425" s="2085"/>
      <c r="AD1425" s="2085"/>
      <c r="AE1425" s="2089"/>
    </row>
    <row r="1426" spans="1:31" ht="36">
      <c r="A1426" s="894">
        <v>1013</v>
      </c>
      <c r="B1426" s="894">
        <v>19</v>
      </c>
      <c r="C1426" s="894" t="s">
        <v>2568</v>
      </c>
      <c r="D1426" s="894" t="s">
        <v>2332</v>
      </c>
      <c r="E1426" s="894" t="s">
        <v>47</v>
      </c>
      <c r="F1426" s="894">
        <v>100</v>
      </c>
      <c r="G1426" s="692">
        <v>500000</v>
      </c>
      <c r="H1426" s="692">
        <f t="shared" si="229"/>
        <v>50000000</v>
      </c>
      <c r="I1426" s="1139">
        <v>100</v>
      </c>
      <c r="J1426" s="897">
        <v>650000</v>
      </c>
      <c r="K1426" s="897">
        <f t="shared" si="230"/>
        <v>65000000</v>
      </c>
      <c r="L1426" s="692">
        <f t="shared" si="231"/>
        <v>150000</v>
      </c>
      <c r="M1426" s="894" t="s">
        <v>2531</v>
      </c>
      <c r="N1426" s="692" t="s">
        <v>2569</v>
      </c>
      <c r="O1426" s="894" t="s">
        <v>2533</v>
      </c>
      <c r="P1426" s="403" t="s">
        <v>1916</v>
      </c>
      <c r="Q1426" s="2084">
        <f t="shared" si="234"/>
        <v>1</v>
      </c>
      <c r="R1426" s="2332">
        <f t="shared" si="235"/>
        <v>100</v>
      </c>
      <c r="S1426" s="2086"/>
      <c r="T1426" s="2086"/>
      <c r="U1426" s="2086"/>
      <c r="V1426" s="2086"/>
      <c r="W1426" s="2087"/>
      <c r="X1426" s="2088"/>
      <c r="Y1426" s="2089"/>
      <c r="Z1426" s="2085"/>
      <c r="AA1426" s="2085"/>
      <c r="AB1426" s="2085"/>
      <c r="AC1426" s="2085"/>
      <c r="AD1426" s="2085"/>
      <c r="AE1426" s="2089"/>
    </row>
    <row r="1427" spans="1:31" ht="27">
      <c r="A1427" s="894">
        <v>1014</v>
      </c>
      <c r="B1427" s="894">
        <v>20</v>
      </c>
      <c r="C1427" s="894" t="s">
        <v>2570</v>
      </c>
      <c r="D1427" s="894" t="s">
        <v>2332</v>
      </c>
      <c r="E1427" s="894" t="s">
        <v>47</v>
      </c>
      <c r="F1427" s="894">
        <v>100</v>
      </c>
      <c r="G1427" s="692">
        <v>640000</v>
      </c>
      <c r="H1427" s="692">
        <f t="shared" si="229"/>
        <v>64000000</v>
      </c>
      <c r="I1427" s="1139">
        <v>100</v>
      </c>
      <c r="J1427" s="897">
        <v>650000</v>
      </c>
      <c r="K1427" s="897">
        <f t="shared" si="230"/>
        <v>65000000</v>
      </c>
      <c r="L1427" s="692">
        <f t="shared" si="231"/>
        <v>10000</v>
      </c>
      <c r="M1427" s="894" t="s">
        <v>2531</v>
      </c>
      <c r="N1427" s="692" t="s">
        <v>2571</v>
      </c>
      <c r="O1427" s="894" t="s">
        <v>2533</v>
      </c>
      <c r="P1427" s="403" t="s">
        <v>1916</v>
      </c>
      <c r="Q1427" s="2084">
        <f t="shared" si="234"/>
        <v>1</v>
      </c>
      <c r="R1427" s="2332">
        <f t="shared" si="235"/>
        <v>100</v>
      </c>
      <c r="S1427" s="2086"/>
      <c r="T1427" s="2086"/>
      <c r="U1427" s="2086"/>
      <c r="V1427" s="2086"/>
      <c r="W1427" s="2087"/>
      <c r="X1427" s="2088"/>
      <c r="Y1427" s="2089"/>
      <c r="Z1427" s="2085"/>
      <c r="AA1427" s="2085"/>
      <c r="AB1427" s="2085"/>
      <c r="AC1427" s="2085"/>
      <c r="AD1427" s="2085"/>
      <c r="AE1427" s="2089"/>
    </row>
    <row r="1428" spans="1:31" ht="18">
      <c r="A1428" s="903">
        <v>1015</v>
      </c>
      <c r="B1428" s="903">
        <v>21</v>
      </c>
      <c r="C1428" s="903" t="s">
        <v>2572</v>
      </c>
      <c r="D1428" s="903" t="s">
        <v>2332</v>
      </c>
      <c r="E1428" s="903" t="s">
        <v>47</v>
      </c>
      <c r="F1428" s="903">
        <v>5</v>
      </c>
      <c r="G1428" s="711">
        <v>4400000</v>
      </c>
      <c r="H1428" s="711">
        <f>F1428*G1428</f>
        <v>22000000</v>
      </c>
      <c r="I1428" s="1140">
        <v>5</v>
      </c>
      <c r="J1428" s="961">
        <v>4500000</v>
      </c>
      <c r="K1428" s="961">
        <f t="shared" si="230"/>
        <v>22500000</v>
      </c>
      <c r="L1428" s="711">
        <f t="shared" si="231"/>
        <v>100000</v>
      </c>
      <c r="M1428" s="903" t="s">
        <v>2531</v>
      </c>
      <c r="N1428" s="711" t="s">
        <v>2573</v>
      </c>
      <c r="O1428" s="903" t="s">
        <v>2533</v>
      </c>
      <c r="P1428" s="420" t="s">
        <v>1916</v>
      </c>
      <c r="Q1428" s="2084">
        <f t="shared" si="234"/>
        <v>1</v>
      </c>
      <c r="R1428" s="2332">
        <f t="shared" si="235"/>
        <v>5</v>
      </c>
      <c r="S1428" s="2086"/>
      <c r="T1428" s="2086"/>
      <c r="U1428" s="2086"/>
      <c r="V1428" s="2086"/>
      <c r="W1428" s="2087"/>
      <c r="X1428" s="2088"/>
      <c r="Y1428" s="2089"/>
      <c r="Z1428" s="2085"/>
      <c r="AA1428" s="2085"/>
      <c r="AB1428" s="2085"/>
      <c r="AC1428" s="2085"/>
      <c r="AD1428" s="2085"/>
      <c r="AE1428" s="2089"/>
    </row>
    <row r="1429" spans="1:31">
      <c r="A1429" s="2141" t="s">
        <v>1395</v>
      </c>
      <c r="B1429" s="2141"/>
      <c r="C1429" s="2141"/>
      <c r="D1429" s="2141"/>
      <c r="E1429" s="2141"/>
      <c r="F1429" s="2141"/>
      <c r="G1429" s="2141"/>
      <c r="H1429" s="2299">
        <f>SUM(H1408:H1428)</f>
        <v>743400000</v>
      </c>
      <c r="I1429" s="104"/>
      <c r="J1429" s="104"/>
      <c r="K1429" s="104">
        <f>SUM(K1408:K1428)</f>
        <v>899000000</v>
      </c>
      <c r="L1429" s="248"/>
      <c r="M1429" s="247"/>
      <c r="N1429" s="247"/>
      <c r="O1429" s="247"/>
      <c r="P1429" s="142"/>
      <c r="Q1429" s="115"/>
    </row>
    <row r="1430" spans="1:31">
      <c r="A1430" s="2155" t="s">
        <v>2574</v>
      </c>
      <c r="B1430" s="2155"/>
      <c r="C1430" s="2155"/>
      <c r="D1430" s="2155"/>
      <c r="E1430" s="2155"/>
      <c r="F1430" s="2155"/>
      <c r="G1430" s="2155"/>
      <c r="H1430" s="2155"/>
      <c r="I1430" s="2155"/>
      <c r="J1430" s="2155"/>
      <c r="K1430" s="2155"/>
    </row>
    <row r="1431" spans="1:31">
      <c r="A1431" s="1141"/>
      <c r="B1431" s="1141"/>
      <c r="C1431" s="1141"/>
      <c r="D1431" s="1141"/>
      <c r="E1431" s="1141"/>
      <c r="F1431" s="1141"/>
      <c r="G1431" s="1141"/>
      <c r="H1431" s="1141"/>
      <c r="I1431" s="1141"/>
      <c r="J1431" s="1141"/>
      <c r="K1431" s="1141"/>
    </row>
    <row r="1432" spans="1:31">
      <c r="A1432" s="1141"/>
      <c r="B1432" s="1141"/>
      <c r="C1432" s="1141"/>
      <c r="D1432" s="1141"/>
      <c r="E1432" s="1141"/>
      <c r="F1432" s="1141"/>
      <c r="G1432" s="1141"/>
      <c r="H1432" s="1141"/>
      <c r="I1432" s="1141"/>
      <c r="J1432" s="1141"/>
      <c r="K1432" s="1141"/>
    </row>
    <row r="1433" spans="1:31">
      <c r="A1433" s="1141"/>
      <c r="B1433" s="1141"/>
      <c r="C1433" s="1141"/>
      <c r="D1433" s="1141"/>
      <c r="E1433" s="1141"/>
      <c r="F1433" s="1141"/>
      <c r="G1433" s="1141"/>
      <c r="H1433" s="1141"/>
      <c r="I1433" s="1141"/>
      <c r="J1433" s="1141"/>
      <c r="K1433" s="1141"/>
    </row>
    <row r="1436" spans="1:31">
      <c r="A1436" s="71" t="s">
        <v>2575</v>
      </c>
    </row>
    <row r="1437" spans="1:31" s="12" customFormat="1">
      <c r="A1437" s="2141" t="s">
        <v>5</v>
      </c>
      <c r="B1437" s="2141" t="s">
        <v>6</v>
      </c>
      <c r="C1437" s="2177" t="s">
        <v>7</v>
      </c>
      <c r="D1437" s="2156" t="s">
        <v>8</v>
      </c>
      <c r="E1437" s="2141" t="s">
        <v>9</v>
      </c>
      <c r="F1437" s="2098" t="s">
        <v>10</v>
      </c>
      <c r="G1437" s="2098"/>
      <c r="H1437" s="2098"/>
      <c r="I1437" s="2098" t="s">
        <v>11</v>
      </c>
      <c r="J1437" s="2098"/>
      <c r="K1437" s="2098"/>
      <c r="L1437" s="2175" t="s">
        <v>12</v>
      </c>
      <c r="M1437" s="9"/>
      <c r="N1437" s="9"/>
      <c r="O1437" s="9"/>
      <c r="P1437" s="2176" t="s">
        <v>13</v>
      </c>
      <c r="Q1437" s="10"/>
      <c r="R1437" s="2318"/>
      <c r="S1437" s="11"/>
    </row>
    <row r="1438" spans="1:31" s="16" customFormat="1" ht="27">
      <c r="A1438" s="2141"/>
      <c r="B1438" s="2141"/>
      <c r="C1438" s="2177"/>
      <c r="D1438" s="2156"/>
      <c r="E1438" s="2141"/>
      <c r="F1438" s="13" t="s">
        <v>14</v>
      </c>
      <c r="G1438" s="13" t="s">
        <v>15</v>
      </c>
      <c r="H1438" s="13" t="s">
        <v>16</v>
      </c>
      <c r="I1438" s="13" t="s">
        <v>14</v>
      </c>
      <c r="J1438" s="13" t="s">
        <v>15</v>
      </c>
      <c r="K1438" s="13" t="s">
        <v>16</v>
      </c>
      <c r="L1438" s="2175"/>
      <c r="M1438" s="14" t="s">
        <v>17</v>
      </c>
      <c r="N1438" s="14" t="s">
        <v>18</v>
      </c>
      <c r="O1438" s="14" t="s">
        <v>19</v>
      </c>
      <c r="P1438" s="2176"/>
      <c r="Q1438" s="10"/>
      <c r="R1438" s="2321"/>
      <c r="S1438" s="15"/>
    </row>
    <row r="1439" spans="1:31" s="70" customFormat="1">
      <c r="A1439" s="331">
        <v>1</v>
      </c>
      <c r="B1439" s="331">
        <v>2</v>
      </c>
      <c r="C1439" s="63">
        <v>3</v>
      </c>
      <c r="D1439" s="331">
        <v>4</v>
      </c>
      <c r="E1439" s="331">
        <v>5</v>
      </c>
      <c r="F1439" s="57">
        <v>6</v>
      </c>
      <c r="G1439" s="57">
        <v>7</v>
      </c>
      <c r="H1439" s="331">
        <v>8</v>
      </c>
      <c r="I1439" s="331">
        <v>9</v>
      </c>
      <c r="J1439" s="331">
        <v>10</v>
      </c>
      <c r="K1439" s="331">
        <v>11</v>
      </c>
      <c r="L1439" s="331">
        <v>12</v>
      </c>
      <c r="M1439" s="331">
        <v>9</v>
      </c>
      <c r="N1439" s="331">
        <v>10</v>
      </c>
      <c r="O1439" s="331">
        <v>11</v>
      </c>
      <c r="P1439" s="21">
        <v>13</v>
      </c>
      <c r="Q1439" s="22"/>
      <c r="R1439" s="2321"/>
      <c r="S1439" s="485"/>
    </row>
    <row r="1440" spans="1:31" ht="27">
      <c r="A1440" s="1142">
        <v>1016</v>
      </c>
      <c r="B1440" s="274">
        <v>1</v>
      </c>
      <c r="C1440" s="273" t="s">
        <v>2576</v>
      </c>
      <c r="D1440" s="274" t="s">
        <v>219</v>
      </c>
      <c r="E1440" s="274" t="s">
        <v>220</v>
      </c>
      <c r="F1440" s="274">
        <v>1000</v>
      </c>
      <c r="G1440" s="1143">
        <v>89000</v>
      </c>
      <c r="H1440" s="1144">
        <f>G1440*F1440</f>
        <v>89000000</v>
      </c>
      <c r="I1440" s="1145">
        <v>1000</v>
      </c>
      <c r="J1440" s="1146">
        <v>90000</v>
      </c>
      <c r="K1440" s="1146">
        <f>I1440*J1440</f>
        <v>90000000</v>
      </c>
      <c r="L1440" s="397">
        <f>J1440-G1440</f>
        <v>1000</v>
      </c>
      <c r="M1440" s="274" t="s">
        <v>2577</v>
      </c>
      <c r="N1440" s="274">
        <v>17261700</v>
      </c>
      <c r="O1440" s="274"/>
      <c r="P1440" s="400" t="s">
        <v>2578</v>
      </c>
      <c r="Q1440" s="2084">
        <f t="shared" ref="Q1440:Q1441" si="236">R1440/F1440</f>
        <v>1</v>
      </c>
      <c r="R1440" s="2332">
        <f t="shared" ref="R1440:R1441" si="237">+F1440-(S1440+T1440+U1440+W1440+X1440+Y1440+Z1440+AA1440+AB1440+AC1440+AD1440+AE1440)</f>
        <v>1000</v>
      </c>
      <c r="S1440" s="2086"/>
      <c r="T1440" s="2086"/>
      <c r="U1440" s="2086"/>
      <c r="V1440" s="2086"/>
      <c r="W1440" s="2087"/>
      <c r="X1440" s="2088"/>
      <c r="Y1440" s="2089"/>
      <c r="Z1440" s="2085"/>
      <c r="AA1440" s="2085"/>
      <c r="AB1440" s="2085"/>
      <c r="AC1440" s="2085"/>
      <c r="AD1440" s="2085"/>
      <c r="AE1440" s="2089"/>
    </row>
    <row r="1441" spans="1:31" ht="27">
      <c r="A1441" s="1147">
        <v>1017</v>
      </c>
      <c r="B1441" s="513">
        <v>2</v>
      </c>
      <c r="C1441" s="514" t="s">
        <v>2579</v>
      </c>
      <c r="D1441" s="513" t="s">
        <v>219</v>
      </c>
      <c r="E1441" s="513" t="s">
        <v>220</v>
      </c>
      <c r="F1441" s="513">
        <v>1000</v>
      </c>
      <c r="G1441" s="1148">
        <v>84000</v>
      </c>
      <c r="H1441" s="1149">
        <f>G1441*F1441</f>
        <v>84000000</v>
      </c>
      <c r="I1441" s="837">
        <v>1000</v>
      </c>
      <c r="J1441" s="1150">
        <v>85000</v>
      </c>
      <c r="K1441" s="1150">
        <f>I1441*J1441</f>
        <v>85000000</v>
      </c>
      <c r="L1441" s="784">
        <f>J1441-G1441</f>
        <v>1000</v>
      </c>
      <c r="M1441" s="513" t="s">
        <v>2577</v>
      </c>
      <c r="N1441" s="513">
        <v>17241349</v>
      </c>
      <c r="O1441" s="513"/>
      <c r="P1441" s="786" t="s">
        <v>2578</v>
      </c>
      <c r="Q1441" s="2084">
        <f t="shared" si="236"/>
        <v>1</v>
      </c>
      <c r="R1441" s="2332">
        <f t="shared" si="237"/>
        <v>1000</v>
      </c>
      <c r="S1441" s="2086"/>
      <c r="T1441" s="2086"/>
      <c r="U1441" s="2086"/>
      <c r="V1441" s="2086"/>
      <c r="W1441" s="2087"/>
      <c r="X1441" s="2088"/>
      <c r="Y1441" s="2089"/>
      <c r="Z1441" s="2085"/>
      <c r="AA1441" s="2085"/>
      <c r="AB1441" s="2085"/>
      <c r="AC1441" s="2085"/>
      <c r="AD1441" s="2085"/>
      <c r="AE1441" s="2089"/>
    </row>
    <row r="1442" spans="1:31">
      <c r="A1442" s="518"/>
      <c r="B1442" s="518"/>
      <c r="C1442" s="2140" t="s">
        <v>2112</v>
      </c>
      <c r="D1442" s="2140"/>
      <c r="E1442" s="2140"/>
      <c r="F1442" s="2140"/>
      <c r="G1442" s="2140"/>
      <c r="H1442" s="2316">
        <f>SUM(H1440:H1441)</f>
        <v>173000000</v>
      </c>
      <c r="I1442" s="518"/>
      <c r="J1442" s="518"/>
      <c r="K1442" s="1151">
        <f>SUM(K1440:K1441)</f>
        <v>175000000</v>
      </c>
      <c r="L1442" s="248"/>
      <c r="M1442" s="247"/>
      <c r="N1442" s="247"/>
      <c r="O1442" s="247"/>
      <c r="P1442" s="142"/>
      <c r="Q1442" s="115"/>
    </row>
    <row r="1443" spans="1:31">
      <c r="A1443" s="518"/>
      <c r="B1443" s="518"/>
      <c r="C1443" s="2140" t="s">
        <v>2580</v>
      </c>
      <c r="D1443" s="2140"/>
      <c r="E1443" s="2140"/>
      <c r="F1443" s="2140"/>
      <c r="G1443" s="2140"/>
      <c r="H1443" s="518"/>
      <c r="I1443" s="518"/>
      <c r="J1443" s="518"/>
      <c r="K1443" s="518"/>
      <c r="L1443" s="248"/>
      <c r="M1443" s="247"/>
      <c r="N1443" s="247"/>
      <c r="O1443" s="247"/>
      <c r="P1443" s="142"/>
      <c r="Q1443" s="115"/>
    </row>
    <row r="1444" spans="1:31">
      <c r="A1444" s="1134"/>
      <c r="B1444" s="1134"/>
      <c r="C1444" s="1152"/>
      <c r="D1444" s="1152"/>
      <c r="E1444" s="1152"/>
      <c r="F1444" s="1152"/>
      <c r="G1444" s="1152"/>
      <c r="H1444" s="1134"/>
      <c r="I1444" s="1134"/>
      <c r="J1444" s="1134"/>
      <c r="K1444" s="1134"/>
      <c r="L1444" s="789"/>
      <c r="M1444" s="790"/>
      <c r="N1444" s="790"/>
      <c r="O1444" s="790"/>
      <c r="P1444" s="115"/>
      <c r="Q1444" s="115"/>
    </row>
    <row r="1445" spans="1:31">
      <c r="A1445" s="1134"/>
      <c r="B1445" s="1134"/>
      <c r="C1445" s="1152"/>
      <c r="D1445" s="1152"/>
      <c r="E1445" s="1152"/>
      <c r="F1445" s="1152"/>
      <c r="G1445" s="1152"/>
      <c r="H1445" s="1134"/>
      <c r="I1445" s="1134"/>
      <c r="J1445" s="1134"/>
      <c r="K1445" s="1134"/>
      <c r="L1445" s="789"/>
      <c r="M1445" s="790"/>
      <c r="N1445" s="790"/>
      <c r="O1445" s="790"/>
      <c r="P1445" s="115"/>
      <c r="Q1445" s="115"/>
    </row>
    <row r="1446" spans="1:31">
      <c r="A1446" s="1134"/>
      <c r="B1446" s="1134"/>
      <c r="C1446" s="1152"/>
      <c r="D1446" s="1152"/>
      <c r="E1446" s="1152"/>
      <c r="F1446" s="1152"/>
      <c r="G1446" s="1152"/>
      <c r="H1446" s="1134"/>
      <c r="I1446" s="1134"/>
      <c r="J1446" s="1134"/>
      <c r="K1446" s="1134"/>
      <c r="L1446" s="789"/>
      <c r="M1446" s="790"/>
      <c r="N1446" s="790"/>
      <c r="O1446" s="790"/>
      <c r="P1446" s="115"/>
      <c r="Q1446" s="115"/>
    </row>
    <row r="1448" spans="1:31">
      <c r="A1448" s="71" t="s">
        <v>2581</v>
      </c>
    </row>
    <row r="1449" spans="1:31" s="12" customFormat="1">
      <c r="A1449" s="2141" t="s">
        <v>5</v>
      </c>
      <c r="B1449" s="2141" t="s">
        <v>6</v>
      </c>
      <c r="C1449" s="2177" t="s">
        <v>7</v>
      </c>
      <c r="D1449" s="2156" t="s">
        <v>8</v>
      </c>
      <c r="E1449" s="2141" t="s">
        <v>9</v>
      </c>
      <c r="F1449" s="2098" t="s">
        <v>10</v>
      </c>
      <c r="G1449" s="2098"/>
      <c r="H1449" s="2098"/>
      <c r="I1449" s="2098" t="s">
        <v>11</v>
      </c>
      <c r="J1449" s="2098"/>
      <c r="K1449" s="2098"/>
      <c r="L1449" s="2175" t="s">
        <v>12</v>
      </c>
      <c r="M1449" s="9"/>
      <c r="N1449" s="9"/>
      <c r="O1449" s="9"/>
      <c r="P1449" s="2176" t="s">
        <v>13</v>
      </c>
      <c r="Q1449" s="10"/>
      <c r="R1449" s="2318"/>
      <c r="S1449" s="11"/>
    </row>
    <row r="1450" spans="1:31" s="16" customFormat="1" ht="27">
      <c r="A1450" s="2141"/>
      <c r="B1450" s="2141"/>
      <c r="C1450" s="2177"/>
      <c r="D1450" s="2156"/>
      <c r="E1450" s="2141"/>
      <c r="F1450" s="13" t="s">
        <v>14</v>
      </c>
      <c r="G1450" s="13" t="s">
        <v>15</v>
      </c>
      <c r="H1450" s="13" t="s">
        <v>16</v>
      </c>
      <c r="I1450" s="13" t="s">
        <v>14</v>
      </c>
      <c r="J1450" s="13" t="s">
        <v>15</v>
      </c>
      <c r="K1450" s="13" t="s">
        <v>16</v>
      </c>
      <c r="L1450" s="2175"/>
      <c r="M1450" s="14" t="s">
        <v>17</v>
      </c>
      <c r="N1450" s="14" t="s">
        <v>18</v>
      </c>
      <c r="O1450" s="14" t="s">
        <v>19</v>
      </c>
      <c r="P1450" s="2176"/>
      <c r="Q1450" s="10"/>
      <c r="R1450" s="2321"/>
      <c r="S1450" s="15"/>
    </row>
    <row r="1451" spans="1:31" s="70" customFormat="1">
      <c r="A1451" s="331">
        <v>1</v>
      </c>
      <c r="B1451" s="331">
        <v>2</v>
      </c>
      <c r="C1451" s="63">
        <v>3</v>
      </c>
      <c r="D1451" s="331">
        <v>4</v>
      </c>
      <c r="E1451" s="331">
        <v>5</v>
      </c>
      <c r="F1451" s="57">
        <v>6</v>
      </c>
      <c r="G1451" s="57">
        <v>7</v>
      </c>
      <c r="H1451" s="331">
        <v>8</v>
      </c>
      <c r="I1451" s="331">
        <v>9</v>
      </c>
      <c r="J1451" s="331">
        <v>10</v>
      </c>
      <c r="K1451" s="331">
        <v>11</v>
      </c>
      <c r="L1451" s="331">
        <v>12</v>
      </c>
      <c r="M1451" s="331">
        <v>9</v>
      </c>
      <c r="N1451" s="331">
        <v>10</v>
      </c>
      <c r="O1451" s="331">
        <v>11</v>
      </c>
      <c r="P1451" s="21">
        <v>13</v>
      </c>
      <c r="Q1451" s="22"/>
      <c r="R1451" s="2321"/>
      <c r="S1451" s="485"/>
    </row>
    <row r="1452" spans="1:31" ht="18">
      <c r="A1452" s="400">
        <v>1018</v>
      </c>
      <c r="B1452" s="400">
        <v>1</v>
      </c>
      <c r="C1452" s="400" t="s">
        <v>2582</v>
      </c>
      <c r="D1452" s="400" t="s">
        <v>725</v>
      </c>
      <c r="E1452" s="400" t="s">
        <v>47</v>
      </c>
      <c r="F1452" s="1060">
        <v>20</v>
      </c>
      <c r="G1452" s="1153">
        <v>6500000</v>
      </c>
      <c r="H1452" s="1075">
        <f>F1452*G1452</f>
        <v>130000000</v>
      </c>
      <c r="I1452" s="891">
        <v>20</v>
      </c>
      <c r="J1452" s="682">
        <v>7000000</v>
      </c>
      <c r="K1452" s="682">
        <f t="shared" ref="K1452:K1458" si="238">I1452*J1452</f>
        <v>140000000</v>
      </c>
      <c r="L1452" s="682">
        <f t="shared" ref="L1452:L1458" si="239">J1452-G1452</f>
        <v>500000</v>
      </c>
      <c r="M1452" s="1154" t="s">
        <v>2583</v>
      </c>
      <c r="N1452" s="953" t="s">
        <v>2584</v>
      </c>
      <c r="O1452" s="1155" t="s">
        <v>2585</v>
      </c>
      <c r="P1452" s="400" t="s">
        <v>2586</v>
      </c>
      <c r="Q1452" s="2084">
        <f t="shared" ref="Q1452:Q1453" si="240">R1452/F1452</f>
        <v>1</v>
      </c>
      <c r="R1452" s="2332">
        <f t="shared" ref="R1452:R1453" si="241">+F1452-(S1452+T1452+U1452+W1452+X1452+Y1452+Z1452+AA1452+AB1452+AC1452+AD1452+AE1452)</f>
        <v>20</v>
      </c>
      <c r="S1452" s="2086"/>
      <c r="T1452" s="2086"/>
      <c r="U1452" s="2086"/>
      <c r="V1452" s="2086"/>
      <c r="W1452" s="2087"/>
      <c r="X1452" s="2088"/>
      <c r="Y1452" s="2089"/>
      <c r="Z1452" s="2085"/>
      <c r="AA1452" s="2085"/>
      <c r="AB1452" s="2085"/>
      <c r="AC1452" s="2085"/>
      <c r="AD1452" s="2085"/>
      <c r="AE1452" s="2089"/>
    </row>
    <row r="1453" spans="1:31" ht="18">
      <c r="A1453" s="403">
        <v>1019</v>
      </c>
      <c r="B1453" s="403">
        <v>2</v>
      </c>
      <c r="C1453" s="403" t="s">
        <v>2587</v>
      </c>
      <c r="D1453" s="403" t="s">
        <v>725</v>
      </c>
      <c r="E1453" s="403" t="s">
        <v>47</v>
      </c>
      <c r="F1453" s="1063">
        <v>20</v>
      </c>
      <c r="G1453" s="1156">
        <v>10000000</v>
      </c>
      <c r="H1453" s="1077">
        <f t="shared" ref="H1453:H1458" si="242">F1453*G1453</f>
        <v>200000000</v>
      </c>
      <c r="I1453" s="896">
        <v>20</v>
      </c>
      <c r="J1453" s="692">
        <v>11000000</v>
      </c>
      <c r="K1453" s="692">
        <f t="shared" si="238"/>
        <v>220000000</v>
      </c>
      <c r="L1453" s="692">
        <f t="shared" si="239"/>
        <v>1000000</v>
      </c>
      <c r="M1453" s="1157" t="s">
        <v>2583</v>
      </c>
      <c r="N1453" s="956" t="s">
        <v>2588</v>
      </c>
      <c r="O1453" s="1158" t="s">
        <v>2585</v>
      </c>
      <c r="P1453" s="403" t="s">
        <v>2586</v>
      </c>
      <c r="Q1453" s="2084">
        <f t="shared" si="240"/>
        <v>1</v>
      </c>
      <c r="R1453" s="2332">
        <f t="shared" si="241"/>
        <v>20</v>
      </c>
      <c r="S1453" s="2086"/>
      <c r="T1453" s="2086"/>
      <c r="U1453" s="2086"/>
      <c r="V1453" s="2086"/>
      <c r="W1453" s="2087"/>
      <c r="X1453" s="2088"/>
      <c r="Y1453" s="2089"/>
      <c r="Z1453" s="2085"/>
      <c r="AA1453" s="2085"/>
      <c r="AB1453" s="2085"/>
      <c r="AC1453" s="2085"/>
      <c r="AD1453" s="2085"/>
      <c r="AE1453" s="2089"/>
    </row>
    <row r="1454" spans="1:31" ht="18">
      <c r="A1454" s="403">
        <v>1020</v>
      </c>
      <c r="B1454" s="403">
        <v>3</v>
      </c>
      <c r="C1454" s="403" t="s">
        <v>2589</v>
      </c>
      <c r="D1454" s="403" t="s">
        <v>725</v>
      </c>
      <c r="E1454" s="403" t="s">
        <v>47</v>
      </c>
      <c r="F1454" s="1063">
        <v>20</v>
      </c>
      <c r="G1454" s="1156">
        <v>12000000</v>
      </c>
      <c r="H1454" s="1077">
        <f t="shared" si="242"/>
        <v>240000000</v>
      </c>
      <c r="I1454" s="896">
        <v>20</v>
      </c>
      <c r="J1454" s="692">
        <v>12900000</v>
      </c>
      <c r="K1454" s="692">
        <f t="shared" si="238"/>
        <v>258000000</v>
      </c>
      <c r="L1454" s="692">
        <f t="shared" si="239"/>
        <v>900000</v>
      </c>
      <c r="M1454" s="1157" t="s">
        <v>2583</v>
      </c>
      <c r="N1454" s="956" t="s">
        <v>2588</v>
      </c>
      <c r="O1454" s="1158" t="s">
        <v>2585</v>
      </c>
      <c r="P1454" s="403" t="s">
        <v>2586</v>
      </c>
      <c r="Q1454" s="2084">
        <f t="shared" ref="Q1454:Q1458" si="243">R1454/F1454</f>
        <v>1</v>
      </c>
      <c r="R1454" s="2332">
        <f t="shared" ref="R1454:R1458" si="244">+F1454-(S1454+T1454+U1454+W1454+X1454+Y1454+Z1454+AA1454+AB1454+AC1454+AD1454+AE1454)</f>
        <v>20</v>
      </c>
      <c r="S1454" s="2086"/>
      <c r="T1454" s="2086"/>
      <c r="U1454" s="2086"/>
      <c r="V1454" s="2086"/>
      <c r="W1454" s="2087"/>
      <c r="X1454" s="2088"/>
      <c r="Y1454" s="2089"/>
      <c r="Z1454" s="2085"/>
      <c r="AA1454" s="2085"/>
      <c r="AB1454" s="2085"/>
      <c r="AC1454" s="2085"/>
      <c r="AD1454" s="2085"/>
      <c r="AE1454" s="2089"/>
    </row>
    <row r="1455" spans="1:31" ht="63">
      <c r="A1455" s="403">
        <v>1021</v>
      </c>
      <c r="B1455" s="403">
        <v>4</v>
      </c>
      <c r="C1455" s="403" t="s">
        <v>2590</v>
      </c>
      <c r="D1455" s="403" t="s">
        <v>725</v>
      </c>
      <c r="E1455" s="403" t="s">
        <v>47</v>
      </c>
      <c r="F1455" s="1063">
        <v>50</v>
      </c>
      <c r="G1455" s="1156">
        <v>14000000</v>
      </c>
      <c r="H1455" s="1077">
        <f t="shared" si="242"/>
        <v>700000000</v>
      </c>
      <c r="I1455" s="896">
        <v>50</v>
      </c>
      <c r="J1455" s="692">
        <v>14500000</v>
      </c>
      <c r="K1455" s="692">
        <f t="shared" si="238"/>
        <v>725000000</v>
      </c>
      <c r="L1455" s="692">
        <f t="shared" si="239"/>
        <v>500000</v>
      </c>
      <c r="M1455" s="1157" t="s">
        <v>2583</v>
      </c>
      <c r="N1455" s="894" t="s">
        <v>2591</v>
      </c>
      <c r="O1455" s="1158" t="s">
        <v>2585</v>
      </c>
      <c r="P1455" s="403" t="s">
        <v>2586</v>
      </c>
      <c r="Q1455" s="2084">
        <f t="shared" si="243"/>
        <v>1</v>
      </c>
      <c r="R1455" s="2332">
        <f t="shared" si="244"/>
        <v>50</v>
      </c>
      <c r="S1455" s="2086"/>
      <c r="T1455" s="2086"/>
      <c r="U1455" s="2086"/>
      <c r="V1455" s="2086"/>
      <c r="W1455" s="2087"/>
      <c r="X1455" s="2088"/>
      <c r="Y1455" s="2089"/>
      <c r="Z1455" s="2085"/>
      <c r="AA1455" s="2085"/>
      <c r="AB1455" s="2085"/>
      <c r="AC1455" s="2085"/>
      <c r="AD1455" s="2085"/>
      <c r="AE1455" s="2089"/>
    </row>
    <row r="1456" spans="1:31" ht="18">
      <c r="A1456" s="403">
        <v>1022</v>
      </c>
      <c r="B1456" s="403">
        <v>5</v>
      </c>
      <c r="C1456" s="403" t="s">
        <v>2592</v>
      </c>
      <c r="D1456" s="403" t="s">
        <v>725</v>
      </c>
      <c r="E1456" s="403" t="s">
        <v>47</v>
      </c>
      <c r="F1456" s="1063">
        <v>50</v>
      </c>
      <c r="G1456" s="1156">
        <v>15500000</v>
      </c>
      <c r="H1456" s="1077">
        <f t="shared" si="242"/>
        <v>775000000</v>
      </c>
      <c r="I1456" s="896">
        <v>50</v>
      </c>
      <c r="J1456" s="692">
        <v>16500000</v>
      </c>
      <c r="K1456" s="692">
        <f t="shared" si="238"/>
        <v>825000000</v>
      </c>
      <c r="L1456" s="692">
        <f t="shared" si="239"/>
        <v>1000000</v>
      </c>
      <c r="M1456" s="1157" t="s">
        <v>2583</v>
      </c>
      <c r="N1456" s="894" t="s">
        <v>2593</v>
      </c>
      <c r="O1456" s="1158" t="s">
        <v>2585</v>
      </c>
      <c r="P1456" s="403" t="s">
        <v>2586</v>
      </c>
      <c r="Q1456" s="2084">
        <f t="shared" si="243"/>
        <v>1</v>
      </c>
      <c r="R1456" s="2332">
        <f t="shared" si="244"/>
        <v>50</v>
      </c>
      <c r="S1456" s="2086"/>
      <c r="T1456" s="2086"/>
      <c r="U1456" s="2086"/>
      <c r="V1456" s="2086"/>
      <c r="W1456" s="2087"/>
      <c r="X1456" s="2088"/>
      <c r="Y1456" s="2089"/>
      <c r="Z1456" s="2085"/>
      <c r="AA1456" s="2085"/>
      <c r="AB1456" s="2085"/>
      <c r="AC1456" s="2085"/>
      <c r="AD1456" s="2085"/>
      <c r="AE1456" s="2089"/>
    </row>
    <row r="1457" spans="1:31" ht="18">
      <c r="A1457" s="403">
        <v>1023</v>
      </c>
      <c r="B1457" s="403">
        <v>6</v>
      </c>
      <c r="C1457" s="403" t="s">
        <v>2594</v>
      </c>
      <c r="D1457" s="403" t="s">
        <v>725</v>
      </c>
      <c r="E1457" s="403" t="s">
        <v>47</v>
      </c>
      <c r="F1457" s="1063">
        <v>20</v>
      </c>
      <c r="G1457" s="1156">
        <v>2000000</v>
      </c>
      <c r="H1457" s="1077">
        <f t="shared" si="242"/>
        <v>40000000</v>
      </c>
      <c r="I1457" s="896">
        <v>20</v>
      </c>
      <c r="J1457" s="692">
        <v>2500000</v>
      </c>
      <c r="K1457" s="692">
        <f t="shared" si="238"/>
        <v>50000000</v>
      </c>
      <c r="L1457" s="692">
        <f t="shared" si="239"/>
        <v>500000</v>
      </c>
      <c r="M1457" s="1157" t="s">
        <v>2583</v>
      </c>
      <c r="N1457" s="956" t="s">
        <v>2595</v>
      </c>
      <c r="O1457" s="1158" t="s">
        <v>2585</v>
      </c>
      <c r="P1457" s="403" t="s">
        <v>2586</v>
      </c>
      <c r="Q1457" s="2084">
        <f t="shared" si="243"/>
        <v>1</v>
      </c>
      <c r="R1457" s="2332">
        <f t="shared" si="244"/>
        <v>20</v>
      </c>
      <c r="S1457" s="2086"/>
      <c r="T1457" s="2086"/>
      <c r="U1457" s="2086"/>
      <c r="V1457" s="2086"/>
      <c r="W1457" s="2087"/>
      <c r="X1457" s="2088"/>
      <c r="Y1457" s="2089"/>
      <c r="Z1457" s="2085"/>
      <c r="AA1457" s="2085"/>
      <c r="AB1457" s="2085"/>
      <c r="AC1457" s="2085"/>
      <c r="AD1457" s="2085"/>
      <c r="AE1457" s="2089"/>
    </row>
    <row r="1458" spans="1:31" ht="18">
      <c r="A1458" s="786">
        <v>1024</v>
      </c>
      <c r="B1458" s="786">
        <v>7</v>
      </c>
      <c r="C1458" s="786" t="s">
        <v>2596</v>
      </c>
      <c r="D1458" s="786" t="s">
        <v>725</v>
      </c>
      <c r="E1458" s="786" t="s">
        <v>47</v>
      </c>
      <c r="F1458" s="1066">
        <v>20</v>
      </c>
      <c r="G1458" s="1159">
        <v>13000000</v>
      </c>
      <c r="H1458" s="1083">
        <f t="shared" si="242"/>
        <v>260000000</v>
      </c>
      <c r="I1458" s="976">
        <v>20</v>
      </c>
      <c r="J1458" s="1160">
        <v>13600000</v>
      </c>
      <c r="K1458" s="738">
        <f t="shared" si="238"/>
        <v>272000000</v>
      </c>
      <c r="L1458" s="738">
        <f t="shared" si="239"/>
        <v>600000</v>
      </c>
      <c r="M1458" s="1161" t="s">
        <v>2583</v>
      </c>
      <c r="N1458" s="786" t="s">
        <v>2597</v>
      </c>
      <c r="O1458" s="1162" t="s">
        <v>2585</v>
      </c>
      <c r="P1458" s="786" t="s">
        <v>2586</v>
      </c>
      <c r="Q1458" s="2084">
        <f t="shared" si="243"/>
        <v>1</v>
      </c>
      <c r="R1458" s="2332">
        <f t="shared" si="244"/>
        <v>20</v>
      </c>
      <c r="S1458" s="2086"/>
      <c r="T1458" s="2086"/>
      <c r="U1458" s="2086"/>
      <c r="V1458" s="2086"/>
      <c r="W1458" s="2087"/>
      <c r="X1458" s="2088"/>
      <c r="Y1458" s="2089"/>
      <c r="Z1458" s="2085"/>
      <c r="AA1458" s="2085"/>
      <c r="AB1458" s="2085"/>
      <c r="AC1458" s="2085"/>
      <c r="AD1458" s="2085"/>
      <c r="AE1458" s="2089"/>
    </row>
    <row r="1459" spans="1:31">
      <c r="A1459" s="247"/>
      <c r="B1459" s="591"/>
      <c r="C1459" s="591" t="s">
        <v>1579</v>
      </c>
      <c r="D1459" s="591"/>
      <c r="E1459" s="591"/>
      <c r="F1459" s="591"/>
      <c r="G1459" s="591"/>
      <c r="H1459" s="2317">
        <f>SUM(H1452:H1458)</f>
        <v>2345000000</v>
      </c>
      <c r="I1459" s="743"/>
      <c r="J1459" s="743"/>
      <c r="K1459" s="1163">
        <f>SUM(K1452:K1458)</f>
        <v>2490000000</v>
      </c>
      <c r="L1459" s="743"/>
      <c r="M1459" s="142"/>
      <c r="N1459" s="142"/>
      <c r="O1459" s="142"/>
      <c r="P1459" s="142"/>
      <c r="Q1459" s="115"/>
    </row>
    <row r="1460" spans="1:31">
      <c r="A1460" s="247"/>
      <c r="B1460" s="142"/>
      <c r="C1460" s="2121" t="s">
        <v>2598</v>
      </c>
      <c r="D1460" s="2121"/>
      <c r="E1460" s="2121"/>
      <c r="F1460" s="2121"/>
      <c r="G1460" s="2121"/>
      <c r="H1460" s="2121"/>
      <c r="I1460" s="142"/>
      <c r="J1460" s="142"/>
      <c r="K1460" s="142"/>
      <c r="L1460" s="743"/>
      <c r="M1460" s="142"/>
      <c r="N1460" s="142"/>
      <c r="O1460" s="142"/>
      <c r="P1460" s="142"/>
      <c r="Q1460" s="115"/>
    </row>
    <row r="1461" spans="1:31" s="1170" customFormat="1">
      <c r="A1461" s="1164"/>
      <c r="B1461" s="1164"/>
      <c r="C1461" s="1165" t="s">
        <v>2599</v>
      </c>
      <c r="D1461" s="2180">
        <f>H1459+H1442+H1429+H1400+H1372+H1354+H1317+H1294+H1272+H1253+H1208+H1184+H1155+H1126+H1056+H1022+H1008+H999+H982+H947+H925+H901+H869+H847+H801+H786+H769+H745+H714+H691+H661+H638+H617+H598+H580+H552+H525+H502+H472+H434+H375+H325+H313+H245+H202+H165+H142+H91+H60+H36+H14</f>
        <v>110155388420</v>
      </c>
      <c r="E1461" s="2180"/>
      <c r="F1461" s="2180"/>
      <c r="G1461" s="1166"/>
      <c r="H1461" s="2180">
        <f>L1459+L1442+L1429+L1400+L1372+L1354+L1317+L1294+L1272+L1253+L1208+L1184+L1155+L1126+L1056+L1022+L1008+L999+L982+L947+L925+L901+L869+L847+L801+L786+L769+L745+L714+L691+L661+L638+L617+L598+L580+L552+L525+L502+L472+L434+L375+L325+L313+L245+L202+L165+L142+L91+L60+L36+L14</f>
        <v>0</v>
      </c>
      <c r="I1461" s="2180"/>
      <c r="J1461" s="2180"/>
      <c r="K1461" s="1166">
        <v>121425328958.14999</v>
      </c>
      <c r="L1461" s="1166"/>
      <c r="M1461" s="1164"/>
      <c r="N1461" s="1164"/>
      <c r="O1461" s="1164"/>
      <c r="P1461" s="1167"/>
      <c r="Q1461" s="1168"/>
      <c r="R1461" s="2336"/>
      <c r="S1461" s="1169"/>
    </row>
    <row r="1462" spans="1:31" s="1170" customFormat="1">
      <c r="A1462" s="1164"/>
      <c r="B1462" s="1164"/>
      <c r="C1462" s="1165" t="s">
        <v>2600</v>
      </c>
      <c r="D1462" s="1164" t="e">
        <f ca="1">[1]!vnd(D1461,TRUE)</f>
        <v>#NAME?</v>
      </c>
      <c r="E1462" s="1164"/>
      <c r="F1462" s="1166"/>
      <c r="G1462" s="1166"/>
      <c r="H1462" s="1166"/>
      <c r="I1462" s="1166"/>
      <c r="J1462" s="1166"/>
      <c r="K1462" s="1166">
        <f>K1459+K1442+K1429+K1400+K1372+K1354+K1317+K1294+K1272+K1253+K1208+K1184+K1155+K1126+K1056+K1022+K1008+K999+K982+K947+K925+K901+K869+K847+K801+K786+K769+K745+K714+K691+K661+K638+K617+K598+K580+K552+K525+K502+K472+K434+K375+K325+K313+K245+K202+K165+K142+K91+K60+K36+K14</f>
        <v>119959206658.14999</v>
      </c>
      <c r="L1462" s="1166"/>
      <c r="M1462" s="1164"/>
      <c r="N1462" s="1164"/>
      <c r="O1462" s="1164"/>
      <c r="P1462" s="1167"/>
      <c r="Q1462" s="1168"/>
      <c r="R1462" s="2336"/>
      <c r="S1462" s="1169"/>
    </row>
    <row r="1463" spans="1:31" ht="14.25">
      <c r="K1463" s="73">
        <f>K1461-K1462</f>
        <v>1466122300</v>
      </c>
      <c r="O1463" s="2178" t="s">
        <v>2601</v>
      </c>
      <c r="P1463" s="2178"/>
    </row>
    <row r="1464" spans="1:31" ht="15">
      <c r="O1464" s="2179" t="s">
        <v>2602</v>
      </c>
      <c r="P1464" s="2179"/>
    </row>
  </sheetData>
  <mergeCells count="713">
    <mergeCell ref="Q40:Q41"/>
    <mergeCell ref="R40:R41"/>
    <mergeCell ref="S40:W40"/>
    <mergeCell ref="X40:AE40"/>
    <mergeCell ref="Q20:Q21"/>
    <mergeCell ref="R20:R21"/>
    <mergeCell ref="S20:W20"/>
    <mergeCell ref="X20:AE20"/>
    <mergeCell ref="Q5:Q6"/>
    <mergeCell ref="R5:R6"/>
    <mergeCell ref="S5:W5"/>
    <mergeCell ref="X5:AE5"/>
    <mergeCell ref="Q146:Q147"/>
    <mergeCell ref="R146:R147"/>
    <mergeCell ref="S146:W146"/>
    <mergeCell ref="X146:AE146"/>
    <mergeCell ref="Q96:Q97"/>
    <mergeCell ref="R96:R97"/>
    <mergeCell ref="S96:W96"/>
    <mergeCell ref="X96:AE96"/>
    <mergeCell ref="Q64:Q65"/>
    <mergeCell ref="R64:R65"/>
    <mergeCell ref="S64:W64"/>
    <mergeCell ref="X64:AE64"/>
    <mergeCell ref="Q317:Q318"/>
    <mergeCell ref="R317:R318"/>
    <mergeCell ref="S317:W317"/>
    <mergeCell ref="X317:AE317"/>
    <mergeCell ref="Q206:Q207"/>
    <mergeCell ref="R206:R207"/>
    <mergeCell ref="S206:W206"/>
    <mergeCell ref="X206:AE206"/>
    <mergeCell ref="Q169:Q170"/>
    <mergeCell ref="R169:R170"/>
    <mergeCell ref="S169:W169"/>
    <mergeCell ref="X169:AE169"/>
    <mergeCell ref="S439:W439"/>
    <mergeCell ref="X439:AE439"/>
    <mergeCell ref="Q384:Q385"/>
    <mergeCell ref="R384:R385"/>
    <mergeCell ref="S384:W384"/>
    <mergeCell ref="X384:AE384"/>
    <mergeCell ref="Q333:Q334"/>
    <mergeCell ref="R333:R334"/>
    <mergeCell ref="S333:W333"/>
    <mergeCell ref="X333:AE333"/>
    <mergeCell ref="Q528:Q529"/>
    <mergeCell ref="R528:R529"/>
    <mergeCell ref="S528:W528"/>
    <mergeCell ref="X528:AE528"/>
    <mergeCell ref="Q505:Q506"/>
    <mergeCell ref="R505:R506"/>
    <mergeCell ref="S505:W505"/>
    <mergeCell ref="X505:AE505"/>
    <mergeCell ref="Q479:Q480"/>
    <mergeCell ref="R479:R480"/>
    <mergeCell ref="S479:W479"/>
    <mergeCell ref="X479:AE479"/>
    <mergeCell ref="Q601:Q602"/>
    <mergeCell ref="R601:R602"/>
    <mergeCell ref="S601:W601"/>
    <mergeCell ref="X601:AE601"/>
    <mergeCell ref="Q584:Q585"/>
    <mergeCell ref="R584:R585"/>
    <mergeCell ref="S584:W584"/>
    <mergeCell ref="X584:AE584"/>
    <mergeCell ref="Q557:Q558"/>
    <mergeCell ref="R557:R558"/>
    <mergeCell ref="S557:W557"/>
    <mergeCell ref="X557:AE557"/>
    <mergeCell ref="Q668:Q669"/>
    <mergeCell ref="R668:R669"/>
    <mergeCell ref="S668:W668"/>
    <mergeCell ref="X668:AE668"/>
    <mergeCell ref="Q646:Q647"/>
    <mergeCell ref="R646:R647"/>
    <mergeCell ref="S646:W646"/>
    <mergeCell ref="X646:AE646"/>
    <mergeCell ref="Q623:Q624"/>
    <mergeCell ref="R623:R624"/>
    <mergeCell ref="S623:W623"/>
    <mergeCell ref="X623:AE623"/>
    <mergeCell ref="Q751:Q752"/>
    <mergeCell ref="R751:R752"/>
    <mergeCell ref="S751:W751"/>
    <mergeCell ref="X751:AE751"/>
    <mergeCell ref="Q718:Q719"/>
    <mergeCell ref="R718:R719"/>
    <mergeCell ref="S718:W718"/>
    <mergeCell ref="X718:AE718"/>
    <mergeCell ref="Q696:Q697"/>
    <mergeCell ref="R696:R697"/>
    <mergeCell ref="S696:W696"/>
    <mergeCell ref="X696:AE696"/>
    <mergeCell ref="Q808:Q809"/>
    <mergeCell ref="R808:R809"/>
    <mergeCell ref="S808:W808"/>
    <mergeCell ref="X808:AE808"/>
    <mergeCell ref="Q792:Q793"/>
    <mergeCell ref="R792:R793"/>
    <mergeCell ref="S792:W792"/>
    <mergeCell ref="X792:AE792"/>
    <mergeCell ref="Q776:Q777"/>
    <mergeCell ref="R776:R777"/>
    <mergeCell ref="S776:W776"/>
    <mergeCell ref="X776:AE776"/>
    <mergeCell ref="Q930:Q931"/>
    <mergeCell ref="R930:R931"/>
    <mergeCell ref="S930:W930"/>
    <mergeCell ref="X930:AE930"/>
    <mergeCell ref="Q874:Q875"/>
    <mergeCell ref="R874:R875"/>
    <mergeCell ref="S874:W874"/>
    <mergeCell ref="X874:AE874"/>
    <mergeCell ref="Q852:Q853"/>
    <mergeCell ref="R852:R853"/>
    <mergeCell ref="S852:W852"/>
    <mergeCell ref="X852:AE852"/>
    <mergeCell ref="Q1003:Q1004"/>
    <mergeCell ref="R1003:R1004"/>
    <mergeCell ref="S1003:W1003"/>
    <mergeCell ref="X1003:AE1003"/>
    <mergeCell ref="Q986:Q987"/>
    <mergeCell ref="R986:R987"/>
    <mergeCell ref="S986:W986"/>
    <mergeCell ref="X986:AE986"/>
    <mergeCell ref="Q952:Q953"/>
    <mergeCell ref="R952:R953"/>
    <mergeCell ref="S952:W952"/>
    <mergeCell ref="X952:AE952"/>
    <mergeCell ref="Q1061:Q1062"/>
    <mergeCell ref="R1061:R1062"/>
    <mergeCell ref="S1061:W1061"/>
    <mergeCell ref="X1061:AE1061"/>
    <mergeCell ref="Q1029:Q1030"/>
    <mergeCell ref="R1029:R1030"/>
    <mergeCell ref="S1029:W1029"/>
    <mergeCell ref="X1029:AE1029"/>
    <mergeCell ref="Q1014:Q1015"/>
    <mergeCell ref="R1014:R1015"/>
    <mergeCell ref="S1014:W1014"/>
    <mergeCell ref="X1014:AE1014"/>
    <mergeCell ref="Q1192:Q1193"/>
    <mergeCell ref="R1192:R1193"/>
    <mergeCell ref="S1192:W1192"/>
    <mergeCell ref="X1192:AE1192"/>
    <mergeCell ref="Q1161:Q1162"/>
    <mergeCell ref="R1161:R1162"/>
    <mergeCell ref="S1161:W1161"/>
    <mergeCell ref="X1161:AE1161"/>
    <mergeCell ref="Q1129:Q1130"/>
    <mergeCell ref="R1129:R1130"/>
    <mergeCell ref="S1129:W1129"/>
    <mergeCell ref="X1129:AE1129"/>
    <mergeCell ref="Q1279:Q1280"/>
    <mergeCell ref="R1279:R1280"/>
    <mergeCell ref="S1279:W1279"/>
    <mergeCell ref="X1279:AE1279"/>
    <mergeCell ref="Q1257:Q1258"/>
    <mergeCell ref="R1257:R1258"/>
    <mergeCell ref="S1257:W1257"/>
    <mergeCell ref="X1257:AE1257"/>
    <mergeCell ref="Q1219:Q1220"/>
    <mergeCell ref="R1219:R1220"/>
    <mergeCell ref="S1219:W1219"/>
    <mergeCell ref="X1219:AE1219"/>
    <mergeCell ref="S1360:W1360"/>
    <mergeCell ref="X1360:AE1360"/>
    <mergeCell ref="R1360:R1361"/>
    <mergeCell ref="Q1360:Q1361"/>
    <mergeCell ref="Q1324:Q1325"/>
    <mergeCell ref="R1324:R1325"/>
    <mergeCell ref="S1324:W1324"/>
    <mergeCell ref="X1324:AE1324"/>
    <mergeCell ref="Q1300:Q1301"/>
    <mergeCell ref="R1300:R1301"/>
    <mergeCell ref="S1300:W1300"/>
    <mergeCell ref="X1300:AE1300"/>
    <mergeCell ref="O1463:P1463"/>
    <mergeCell ref="O1464:P1464"/>
    <mergeCell ref="F1449:H1449"/>
    <mergeCell ref="I1449:K1449"/>
    <mergeCell ref="L1449:L1450"/>
    <mergeCell ref="P1449:P1450"/>
    <mergeCell ref="C1460:H1460"/>
    <mergeCell ref="D1461:F1461"/>
    <mergeCell ref="H1461:J1461"/>
    <mergeCell ref="I1437:K1437"/>
    <mergeCell ref="L1437:L1438"/>
    <mergeCell ref="P1437:P1438"/>
    <mergeCell ref="C1442:G1442"/>
    <mergeCell ref="C1443:G1443"/>
    <mergeCell ref="A1449:A1450"/>
    <mergeCell ref="B1449:B1450"/>
    <mergeCell ref="C1449:C1450"/>
    <mergeCell ref="D1449:D1450"/>
    <mergeCell ref="E1449:E1450"/>
    <mergeCell ref="A1437:A1438"/>
    <mergeCell ref="B1437:B1438"/>
    <mergeCell ref="C1437:C1438"/>
    <mergeCell ref="D1437:D1438"/>
    <mergeCell ref="E1437:E1438"/>
    <mergeCell ref="F1437:H1437"/>
    <mergeCell ref="L1405:L1406"/>
    <mergeCell ref="P1405:P1406"/>
    <mergeCell ref="A1429:G1429"/>
    <mergeCell ref="A1430:K1430"/>
    <mergeCell ref="F1377:H1377"/>
    <mergeCell ref="I1377:K1377"/>
    <mergeCell ref="L1377:L1378"/>
    <mergeCell ref="P1377:P1378"/>
    <mergeCell ref="C1400:F1400"/>
    <mergeCell ref="A1405:A1406"/>
    <mergeCell ref="B1405:B1406"/>
    <mergeCell ref="C1405:C1406"/>
    <mergeCell ref="D1405:D1406"/>
    <mergeCell ref="E1405:E1406"/>
    <mergeCell ref="C1372:D1372"/>
    <mergeCell ref="A1373:K1373"/>
    <mergeCell ref="A1377:A1378"/>
    <mergeCell ref="B1377:B1378"/>
    <mergeCell ref="C1377:C1378"/>
    <mergeCell ref="D1377:D1378"/>
    <mergeCell ref="E1377:E1378"/>
    <mergeCell ref="F1405:H1405"/>
    <mergeCell ref="I1405:K1405"/>
    <mergeCell ref="P1324:P1325"/>
    <mergeCell ref="A1354:G1354"/>
    <mergeCell ref="A1360:A1361"/>
    <mergeCell ref="B1360:B1361"/>
    <mergeCell ref="C1360:C1361"/>
    <mergeCell ref="D1360:D1361"/>
    <mergeCell ref="E1360:E1361"/>
    <mergeCell ref="F1360:H1360"/>
    <mergeCell ref="I1360:K1360"/>
    <mergeCell ref="L1360:L1361"/>
    <mergeCell ref="P1360:P1361"/>
    <mergeCell ref="A1317:G1317"/>
    <mergeCell ref="A1324:A1325"/>
    <mergeCell ref="B1324:B1325"/>
    <mergeCell ref="C1324:C1325"/>
    <mergeCell ref="D1324:D1325"/>
    <mergeCell ref="E1324:E1325"/>
    <mergeCell ref="F1324:H1324"/>
    <mergeCell ref="I1324:K1324"/>
    <mergeCell ref="L1324:L1325"/>
    <mergeCell ref="L1279:L1280"/>
    <mergeCell ref="P1279:P1280"/>
    <mergeCell ref="A1294:G1294"/>
    <mergeCell ref="A1300:A1301"/>
    <mergeCell ref="B1300:B1301"/>
    <mergeCell ref="C1300:C1301"/>
    <mergeCell ref="D1300:D1301"/>
    <mergeCell ref="E1300:E1301"/>
    <mergeCell ref="F1300:H1300"/>
    <mergeCell ref="I1300:K1300"/>
    <mergeCell ref="L1300:L1301"/>
    <mergeCell ref="P1300:P1301"/>
    <mergeCell ref="C1272:F1272"/>
    <mergeCell ref="C1273:I1273"/>
    <mergeCell ref="A1279:A1280"/>
    <mergeCell ref="B1279:B1280"/>
    <mergeCell ref="C1279:C1280"/>
    <mergeCell ref="D1279:D1280"/>
    <mergeCell ref="E1279:E1280"/>
    <mergeCell ref="F1279:H1279"/>
    <mergeCell ref="I1279:K1279"/>
    <mergeCell ref="I1219:K1219"/>
    <mergeCell ref="L1219:L1220"/>
    <mergeCell ref="P1219:P1220"/>
    <mergeCell ref="A1257:A1258"/>
    <mergeCell ref="B1257:B1258"/>
    <mergeCell ref="C1257:C1258"/>
    <mergeCell ref="D1257:D1258"/>
    <mergeCell ref="E1257:E1258"/>
    <mergeCell ref="F1257:H1257"/>
    <mergeCell ref="I1257:K1257"/>
    <mergeCell ref="A1219:A1220"/>
    <mergeCell ref="B1219:B1220"/>
    <mergeCell ref="C1219:C1220"/>
    <mergeCell ref="D1219:D1220"/>
    <mergeCell ref="E1219:E1220"/>
    <mergeCell ref="F1219:H1219"/>
    <mergeCell ref="L1257:L1258"/>
    <mergeCell ref="P1257:P1258"/>
    <mergeCell ref="F1192:H1192"/>
    <mergeCell ref="I1192:K1192"/>
    <mergeCell ref="L1192:L1193"/>
    <mergeCell ref="P1192:P1193"/>
    <mergeCell ref="A1208:G1208"/>
    <mergeCell ref="A1210:H1210"/>
    <mergeCell ref="F1161:H1161"/>
    <mergeCell ref="I1161:K1161"/>
    <mergeCell ref="L1161:L1162"/>
    <mergeCell ref="P1161:P1162"/>
    <mergeCell ref="A1185:K1185"/>
    <mergeCell ref="A1192:A1193"/>
    <mergeCell ref="B1192:B1193"/>
    <mergeCell ref="C1192:C1193"/>
    <mergeCell ref="D1192:D1193"/>
    <mergeCell ref="E1192:E1193"/>
    <mergeCell ref="I1129:K1129"/>
    <mergeCell ref="L1129:L1130"/>
    <mergeCell ref="P1129:P1130"/>
    <mergeCell ref="A1155:G1155"/>
    <mergeCell ref="M1155:O1155"/>
    <mergeCell ref="A1161:A1162"/>
    <mergeCell ref="B1161:B1162"/>
    <mergeCell ref="C1161:C1162"/>
    <mergeCell ref="D1161:D1162"/>
    <mergeCell ref="E1161:E1162"/>
    <mergeCell ref="A1129:A1130"/>
    <mergeCell ref="B1129:B1130"/>
    <mergeCell ref="C1129:C1130"/>
    <mergeCell ref="D1129:D1130"/>
    <mergeCell ref="E1129:E1130"/>
    <mergeCell ref="F1129:H1129"/>
    <mergeCell ref="L1061:L1062"/>
    <mergeCell ref="P1061:P1062"/>
    <mergeCell ref="A1126:G1126"/>
    <mergeCell ref="A1127:H1127"/>
    <mergeCell ref="I1029:K1029"/>
    <mergeCell ref="L1029:L1030"/>
    <mergeCell ref="P1029:P1030"/>
    <mergeCell ref="C1056:G1056"/>
    <mergeCell ref="C1057:H1057"/>
    <mergeCell ref="A1061:A1062"/>
    <mergeCell ref="B1061:B1062"/>
    <mergeCell ref="C1061:C1062"/>
    <mergeCell ref="D1061:D1062"/>
    <mergeCell ref="E1061:E1062"/>
    <mergeCell ref="A1022:G1022"/>
    <mergeCell ref="A1023:K1023"/>
    <mergeCell ref="A1029:A1030"/>
    <mergeCell ref="B1029:B1030"/>
    <mergeCell ref="C1029:C1030"/>
    <mergeCell ref="D1029:D1030"/>
    <mergeCell ref="E1029:E1030"/>
    <mergeCell ref="F1029:H1029"/>
    <mergeCell ref="F1061:H1061"/>
    <mergeCell ref="I1061:K1061"/>
    <mergeCell ref="I1003:K1003"/>
    <mergeCell ref="L1003:L1004"/>
    <mergeCell ref="P1003:P1004"/>
    <mergeCell ref="A1014:A1015"/>
    <mergeCell ref="B1014:B1015"/>
    <mergeCell ref="C1014:C1015"/>
    <mergeCell ref="D1014:D1015"/>
    <mergeCell ref="E1014:E1015"/>
    <mergeCell ref="F1014:H1014"/>
    <mergeCell ref="I1014:K1014"/>
    <mergeCell ref="A1003:A1004"/>
    <mergeCell ref="B1003:B1004"/>
    <mergeCell ref="C1003:C1004"/>
    <mergeCell ref="D1003:D1004"/>
    <mergeCell ref="E1003:E1004"/>
    <mergeCell ref="F1003:H1003"/>
    <mergeCell ref="L1014:L1015"/>
    <mergeCell ref="P1014:P1015"/>
    <mergeCell ref="P986:P987"/>
    <mergeCell ref="A999:G999"/>
    <mergeCell ref="A1000:K1000"/>
    <mergeCell ref="I952:K952"/>
    <mergeCell ref="L952:L953"/>
    <mergeCell ref="P952:P953"/>
    <mergeCell ref="A982:G982"/>
    <mergeCell ref="A983:K983"/>
    <mergeCell ref="A986:A987"/>
    <mergeCell ref="B986:B987"/>
    <mergeCell ref="C986:C987"/>
    <mergeCell ref="D986:D987"/>
    <mergeCell ref="E986:E987"/>
    <mergeCell ref="A948:L948"/>
    <mergeCell ref="A952:A953"/>
    <mergeCell ref="B952:B953"/>
    <mergeCell ref="C952:C953"/>
    <mergeCell ref="D952:D953"/>
    <mergeCell ref="E952:E953"/>
    <mergeCell ref="F952:H952"/>
    <mergeCell ref="F986:H986"/>
    <mergeCell ref="I986:K986"/>
    <mergeCell ref="L986:L987"/>
    <mergeCell ref="I905:K905"/>
    <mergeCell ref="L905:L906"/>
    <mergeCell ref="P905:P906"/>
    <mergeCell ref="A927:C927"/>
    <mergeCell ref="A930:A931"/>
    <mergeCell ref="B930:B931"/>
    <mergeCell ref="C930:C931"/>
    <mergeCell ref="D930:D931"/>
    <mergeCell ref="E930:E931"/>
    <mergeCell ref="F930:H930"/>
    <mergeCell ref="A905:A906"/>
    <mergeCell ref="B905:B906"/>
    <mergeCell ref="C905:C906"/>
    <mergeCell ref="D905:D906"/>
    <mergeCell ref="E905:E906"/>
    <mergeCell ref="F905:H905"/>
    <mergeCell ref="I930:K930"/>
    <mergeCell ref="L930:L931"/>
    <mergeCell ref="P930:P931"/>
    <mergeCell ref="P874:P875"/>
    <mergeCell ref="A901:G901"/>
    <mergeCell ref="A902:K902"/>
    <mergeCell ref="F852:H852"/>
    <mergeCell ref="I852:K852"/>
    <mergeCell ref="L852:L853"/>
    <mergeCell ref="P852:P853"/>
    <mergeCell ref="A869:G869"/>
    <mergeCell ref="A874:A875"/>
    <mergeCell ref="B874:B875"/>
    <mergeCell ref="C874:C875"/>
    <mergeCell ref="D874:D875"/>
    <mergeCell ref="E874:E875"/>
    <mergeCell ref="B848:K848"/>
    <mergeCell ref="A852:A853"/>
    <mergeCell ref="B852:B853"/>
    <mergeCell ref="C852:C853"/>
    <mergeCell ref="D852:D853"/>
    <mergeCell ref="E852:E853"/>
    <mergeCell ref="F874:H874"/>
    <mergeCell ref="I874:K874"/>
    <mergeCell ref="L874:L875"/>
    <mergeCell ref="L792:L793"/>
    <mergeCell ref="P792:P793"/>
    <mergeCell ref="A801:G801"/>
    <mergeCell ref="A808:A809"/>
    <mergeCell ref="B808:B809"/>
    <mergeCell ref="C808:C809"/>
    <mergeCell ref="D808:D809"/>
    <mergeCell ref="E808:E809"/>
    <mergeCell ref="F808:H808"/>
    <mergeCell ref="I808:K808"/>
    <mergeCell ref="L808:L809"/>
    <mergeCell ref="P808:P809"/>
    <mergeCell ref="A786:G786"/>
    <mergeCell ref="A787:K787"/>
    <mergeCell ref="A792:A793"/>
    <mergeCell ref="B792:B793"/>
    <mergeCell ref="C792:C793"/>
    <mergeCell ref="D792:D793"/>
    <mergeCell ref="E792:E793"/>
    <mergeCell ref="F792:H792"/>
    <mergeCell ref="I792:K792"/>
    <mergeCell ref="A776:A777"/>
    <mergeCell ref="B776:B777"/>
    <mergeCell ref="C776:C777"/>
    <mergeCell ref="D776:D777"/>
    <mergeCell ref="E776:E777"/>
    <mergeCell ref="F776:H776"/>
    <mergeCell ref="I776:K776"/>
    <mergeCell ref="L776:L777"/>
    <mergeCell ref="P776:P777"/>
    <mergeCell ref="L718:L719"/>
    <mergeCell ref="P718:P719"/>
    <mergeCell ref="C746:H746"/>
    <mergeCell ref="A751:A752"/>
    <mergeCell ref="B751:B752"/>
    <mergeCell ref="C751:C752"/>
    <mergeCell ref="D751:D752"/>
    <mergeCell ref="E751:E752"/>
    <mergeCell ref="F751:H751"/>
    <mergeCell ref="I751:K751"/>
    <mergeCell ref="L751:L752"/>
    <mergeCell ref="P751:P752"/>
    <mergeCell ref="C714:G714"/>
    <mergeCell ref="C715:I715"/>
    <mergeCell ref="A718:A719"/>
    <mergeCell ref="B718:B719"/>
    <mergeCell ref="C718:C719"/>
    <mergeCell ref="D718:D719"/>
    <mergeCell ref="E718:E719"/>
    <mergeCell ref="F718:H718"/>
    <mergeCell ref="I718:K718"/>
    <mergeCell ref="L668:L669"/>
    <mergeCell ref="P668:P669"/>
    <mergeCell ref="A691:G691"/>
    <mergeCell ref="A692:K692"/>
    <mergeCell ref="A696:A697"/>
    <mergeCell ref="B696:B697"/>
    <mergeCell ref="C696:C697"/>
    <mergeCell ref="D696:D697"/>
    <mergeCell ref="E696:E697"/>
    <mergeCell ref="F696:H696"/>
    <mergeCell ref="I696:K696"/>
    <mergeCell ref="L696:L697"/>
    <mergeCell ref="P696:P697"/>
    <mergeCell ref="C663:K663"/>
    <mergeCell ref="A668:A669"/>
    <mergeCell ref="B668:B669"/>
    <mergeCell ref="C668:C669"/>
    <mergeCell ref="D668:D669"/>
    <mergeCell ref="E668:E669"/>
    <mergeCell ref="F668:H668"/>
    <mergeCell ref="I668:K668"/>
    <mergeCell ref="F646:H646"/>
    <mergeCell ref="I646:K646"/>
    <mergeCell ref="A661:G661"/>
    <mergeCell ref="C662:G662"/>
    <mergeCell ref="P601:P602"/>
    <mergeCell ref="B618:K618"/>
    <mergeCell ref="A623:A624"/>
    <mergeCell ref="B623:B624"/>
    <mergeCell ref="C623:C624"/>
    <mergeCell ref="D623:D624"/>
    <mergeCell ref="E623:E624"/>
    <mergeCell ref="L646:L647"/>
    <mergeCell ref="P646:P647"/>
    <mergeCell ref="F623:H623"/>
    <mergeCell ref="I623:K623"/>
    <mergeCell ref="L623:L624"/>
    <mergeCell ref="P623:P624"/>
    <mergeCell ref="B639:K639"/>
    <mergeCell ref="A646:A647"/>
    <mergeCell ref="B646:B647"/>
    <mergeCell ref="C646:C647"/>
    <mergeCell ref="D646:D647"/>
    <mergeCell ref="E646:E647"/>
    <mergeCell ref="A598:G598"/>
    <mergeCell ref="A601:A602"/>
    <mergeCell ref="B601:B602"/>
    <mergeCell ref="C601:C602"/>
    <mergeCell ref="D601:D602"/>
    <mergeCell ref="E601:E602"/>
    <mergeCell ref="F601:H601"/>
    <mergeCell ref="I601:K601"/>
    <mergeCell ref="L601:L602"/>
    <mergeCell ref="P557:P558"/>
    <mergeCell ref="C580:G580"/>
    <mergeCell ref="C581:H581"/>
    <mergeCell ref="A584:A585"/>
    <mergeCell ref="B584:B585"/>
    <mergeCell ref="C584:C585"/>
    <mergeCell ref="D584:D585"/>
    <mergeCell ref="E584:E585"/>
    <mergeCell ref="F584:H584"/>
    <mergeCell ref="I584:K584"/>
    <mergeCell ref="L584:L585"/>
    <mergeCell ref="P584:P585"/>
    <mergeCell ref="D552:G552"/>
    <mergeCell ref="A553:O553"/>
    <mergeCell ref="A557:A558"/>
    <mergeCell ref="B557:B558"/>
    <mergeCell ref="C557:C558"/>
    <mergeCell ref="D557:D558"/>
    <mergeCell ref="E557:E558"/>
    <mergeCell ref="F557:H557"/>
    <mergeCell ref="I557:K557"/>
    <mergeCell ref="L557:L558"/>
    <mergeCell ref="P505:P506"/>
    <mergeCell ref="A525:G525"/>
    <mergeCell ref="A528:A529"/>
    <mergeCell ref="B528:B529"/>
    <mergeCell ref="C528:C529"/>
    <mergeCell ref="D528:D529"/>
    <mergeCell ref="E528:E529"/>
    <mergeCell ref="F528:H528"/>
    <mergeCell ref="I528:K528"/>
    <mergeCell ref="L528:L529"/>
    <mergeCell ref="P528:P529"/>
    <mergeCell ref="A502:F502"/>
    <mergeCell ref="A505:A506"/>
    <mergeCell ref="B505:B506"/>
    <mergeCell ref="C505:C506"/>
    <mergeCell ref="D505:D506"/>
    <mergeCell ref="E505:E506"/>
    <mergeCell ref="F505:H505"/>
    <mergeCell ref="I505:K505"/>
    <mergeCell ref="L505:L506"/>
    <mergeCell ref="A479:A480"/>
    <mergeCell ref="B479:B480"/>
    <mergeCell ref="C479:C480"/>
    <mergeCell ref="D479:D480"/>
    <mergeCell ref="E479:E480"/>
    <mergeCell ref="F479:H479"/>
    <mergeCell ref="I479:K479"/>
    <mergeCell ref="L479:L480"/>
    <mergeCell ref="P479:P480"/>
    <mergeCell ref="L384:L385"/>
    <mergeCell ref="P384:P385"/>
    <mergeCell ref="B435:R435"/>
    <mergeCell ref="A439:A440"/>
    <mergeCell ref="B439:B440"/>
    <mergeCell ref="C439:C440"/>
    <mergeCell ref="D439:D440"/>
    <mergeCell ref="E439:E440"/>
    <mergeCell ref="F439:H439"/>
    <mergeCell ref="I439:K439"/>
    <mergeCell ref="L439:L440"/>
    <mergeCell ref="P439:P440"/>
    <mergeCell ref="Q439:Q440"/>
    <mergeCell ref="R439:R440"/>
    <mergeCell ref="A375:G375"/>
    <mergeCell ref="A376:H376"/>
    <mergeCell ref="A384:A385"/>
    <mergeCell ref="B384:B385"/>
    <mergeCell ref="C384:C385"/>
    <mergeCell ref="D384:D385"/>
    <mergeCell ref="E384:E385"/>
    <mergeCell ref="F384:H384"/>
    <mergeCell ref="I384:K384"/>
    <mergeCell ref="P317:P318"/>
    <mergeCell ref="C326:O326"/>
    <mergeCell ref="A333:A334"/>
    <mergeCell ref="B333:B334"/>
    <mergeCell ref="C333:C334"/>
    <mergeCell ref="D333:D334"/>
    <mergeCell ref="E333:E334"/>
    <mergeCell ref="F333:H333"/>
    <mergeCell ref="I333:K333"/>
    <mergeCell ref="L333:L334"/>
    <mergeCell ref="P333:P334"/>
    <mergeCell ref="B314:O314"/>
    <mergeCell ref="A317:A318"/>
    <mergeCell ref="B317:B318"/>
    <mergeCell ref="C317:C318"/>
    <mergeCell ref="D317:D318"/>
    <mergeCell ref="E317:E318"/>
    <mergeCell ref="F317:H317"/>
    <mergeCell ref="I317:K317"/>
    <mergeCell ref="L317:L318"/>
    <mergeCell ref="A245:C245"/>
    <mergeCell ref="A246:R246"/>
    <mergeCell ref="A250:A251"/>
    <mergeCell ref="B250:B251"/>
    <mergeCell ref="C250:C251"/>
    <mergeCell ref="D250:D251"/>
    <mergeCell ref="E250:E251"/>
    <mergeCell ref="F250:H250"/>
    <mergeCell ref="I250:K250"/>
    <mergeCell ref="L250:L251"/>
    <mergeCell ref="P250:P251"/>
    <mergeCell ref="P169:P170"/>
    <mergeCell ref="A206:A207"/>
    <mergeCell ref="B206:B207"/>
    <mergeCell ref="C206:C207"/>
    <mergeCell ref="D206:D207"/>
    <mergeCell ref="E206:E207"/>
    <mergeCell ref="F206:H206"/>
    <mergeCell ref="I206:K206"/>
    <mergeCell ref="L206:L207"/>
    <mergeCell ref="P206:P207"/>
    <mergeCell ref="C165:G165"/>
    <mergeCell ref="A169:A170"/>
    <mergeCell ref="B169:B170"/>
    <mergeCell ref="C169:C170"/>
    <mergeCell ref="D169:D170"/>
    <mergeCell ref="E169:E170"/>
    <mergeCell ref="F169:H169"/>
    <mergeCell ref="I169:K169"/>
    <mergeCell ref="L169:L170"/>
    <mergeCell ref="P96:P97"/>
    <mergeCell ref="B143:O143"/>
    <mergeCell ref="A146:A147"/>
    <mergeCell ref="B146:B147"/>
    <mergeCell ref="C146:C147"/>
    <mergeCell ref="D146:D147"/>
    <mergeCell ref="E146:E147"/>
    <mergeCell ref="F146:H146"/>
    <mergeCell ref="I146:K146"/>
    <mergeCell ref="L146:L147"/>
    <mergeCell ref="P146:P147"/>
    <mergeCell ref="A91:G91"/>
    <mergeCell ref="A92:O92"/>
    <mergeCell ref="A96:A97"/>
    <mergeCell ref="B96:B97"/>
    <mergeCell ref="C96:C97"/>
    <mergeCell ref="D96:D97"/>
    <mergeCell ref="E96:E97"/>
    <mergeCell ref="F96:H96"/>
    <mergeCell ref="I96:K96"/>
    <mergeCell ref="L96:L97"/>
    <mergeCell ref="A64:A65"/>
    <mergeCell ref="B64:B65"/>
    <mergeCell ref="C64:C65"/>
    <mergeCell ref="D64:D65"/>
    <mergeCell ref="E64:E65"/>
    <mergeCell ref="F64:H64"/>
    <mergeCell ref="I64:K64"/>
    <mergeCell ref="L64:L65"/>
    <mergeCell ref="P64:P65"/>
    <mergeCell ref="A40:A41"/>
    <mergeCell ref="B40:B41"/>
    <mergeCell ref="C40:C41"/>
    <mergeCell ref="D40:D41"/>
    <mergeCell ref="E40:E41"/>
    <mergeCell ref="F40:H40"/>
    <mergeCell ref="I40:K40"/>
    <mergeCell ref="L40:L41"/>
    <mergeCell ref="P40:P41"/>
    <mergeCell ref="P5:P6"/>
    <mergeCell ref="A20:A21"/>
    <mergeCell ref="B20:B21"/>
    <mergeCell ref="C20:C21"/>
    <mergeCell ref="D20:D21"/>
    <mergeCell ref="E20:E21"/>
    <mergeCell ref="F20:H20"/>
    <mergeCell ref="I20:K20"/>
    <mergeCell ref="L20:L21"/>
    <mergeCell ref="P20:P21"/>
    <mergeCell ref="C1:O1"/>
    <mergeCell ref="C2:O2"/>
    <mergeCell ref="C3:O3"/>
    <mergeCell ref="F4:H4"/>
    <mergeCell ref="I4:K4"/>
    <mergeCell ref="A5:A6"/>
    <mergeCell ref="B5:B6"/>
    <mergeCell ref="C5:C6"/>
    <mergeCell ref="D5:D6"/>
    <mergeCell ref="E5:E6"/>
    <mergeCell ref="F5:H5"/>
    <mergeCell ref="I5:K5"/>
    <mergeCell ref="L5:L6"/>
  </mergeCells>
  <conditionalFormatting sqref="Q908:Q924 Q933:Q946 Q955:Q981 Q989:Q998 Q1006:Q1007 Q1017:Q1021 Q1032:Q1055 Q1064:Q1125 Q1132:Q1154 Q1164:Q1183 Q1195:Q1207 Q1222:Q1252 Q1260:Q1271 Q1282:Q1293 Q1303:Q1316 Q1327:Q1353 Q1380:Q1399 Q1408:Q1428 Q1440:Q1441 Q1452:Q1458 Q1362:Q1371">
    <cfRule type="cellIs" dxfId="208" priority="316" stopIfTrue="1" operator="lessThan">
      <formula>0.1</formula>
    </cfRule>
    <cfRule type="cellIs" dxfId="207" priority="317" stopIfTrue="1" operator="between">
      <formula>0.1</formula>
      <formula>0.25</formula>
    </cfRule>
    <cfRule type="cellIs" dxfId="206" priority="318" stopIfTrue="1" operator="greaterThan">
      <formula>0.25</formula>
    </cfRule>
    <cfRule type="cellIs" dxfId="205" priority="319" stopIfTrue="1" operator="lessThan">
      <formula>0.1</formula>
    </cfRule>
  </conditionalFormatting>
  <conditionalFormatting sqref="Q908:Q924 Q933:Q946 Q955:Q981 Q989:Q998 Q1006:Q1007 Q1017:Q1021 Q1032:Q1055 Q1064:Q1125 Q1132:Q1154 Q1164:Q1183 Q1195:Q1207 Q1222:Q1252 Q1260:Q1271 Q1282:Q1293 Q1303:Q1316 Q1327:Q1353 Q1380:Q1399 Q1408:Q1428 Q1440:Q1441 Q1452:Q1458 Q1362:Q1371">
    <cfRule type="cellIs" dxfId="204" priority="314" stopIfTrue="1" operator="between">
      <formula>0.1001</formula>
      <formula>0.25</formula>
    </cfRule>
    <cfRule type="cellIs" dxfId="203" priority="315" stopIfTrue="1" operator="between">
      <formula>0</formula>
      <formula>0.1</formula>
    </cfRule>
  </conditionalFormatting>
  <conditionalFormatting sqref="Q908:Q924 Q933:Q946 Q955:Q981 Q989:Q998 Q1006:Q1007 Q1017:Q1021 Q1032:Q1055 Q1064:Q1125 Q1132:Q1154 Q1164:Q1183 Q1195:Q1207 Q1222:Q1252 Q1260:Q1271 Q1282:Q1293 Q1303:Q1316 Q1327:Q1353 Q1380:Q1399 Q1408:Q1428 Q1440:Q1441 Q1452:Q1458 Q1362:Q1371">
    <cfRule type="cellIs" dxfId="202" priority="309" stopIfTrue="1" operator="between">
      <formula>0.1</formula>
      <formula>0.25</formula>
    </cfRule>
    <cfRule type="cellIs" dxfId="201" priority="310" stopIfTrue="1" operator="lessThan">
      <formula>0.1</formula>
    </cfRule>
    <cfRule type="cellIs" dxfId="200" priority="311" stopIfTrue="1" operator="greaterThan">
      <formula>0.25</formula>
    </cfRule>
    <cfRule type="cellIs" dxfId="199" priority="312" stopIfTrue="1" operator="between">
      <formula>0.1</formula>
      <formula>0.25</formula>
    </cfRule>
    <cfRule type="cellIs" dxfId="198" priority="313" stopIfTrue="1" operator="between">
      <formula>0</formula>
      <formula>0.1</formula>
    </cfRule>
  </conditionalFormatting>
  <conditionalFormatting sqref="Q877:Q900">
    <cfRule type="cellIs" dxfId="197" priority="63" stopIfTrue="1" operator="lessThan">
      <formula>0.1</formula>
    </cfRule>
    <cfRule type="cellIs" dxfId="196" priority="64" stopIfTrue="1" operator="between">
      <formula>0.1</formula>
      <formula>0.25</formula>
    </cfRule>
    <cfRule type="cellIs" dxfId="195" priority="65" stopIfTrue="1" operator="greaterThan">
      <formula>0.25</formula>
    </cfRule>
    <cfRule type="cellIs" dxfId="194" priority="66" stopIfTrue="1" operator="lessThan">
      <formula>0.1</formula>
    </cfRule>
  </conditionalFormatting>
  <conditionalFormatting sqref="Q877:Q900">
    <cfRule type="cellIs" dxfId="189" priority="61" stopIfTrue="1" operator="between">
      <formula>0.1001</formula>
      <formula>0.25</formula>
    </cfRule>
    <cfRule type="cellIs" dxfId="188" priority="62" stopIfTrue="1" operator="between">
      <formula>0</formula>
      <formula>0.1</formula>
    </cfRule>
  </conditionalFormatting>
  <conditionalFormatting sqref="Q877:Q900">
    <cfRule type="cellIs" dxfId="185" priority="56" stopIfTrue="1" operator="between">
      <formula>0.1</formula>
      <formula>0.25</formula>
    </cfRule>
    <cfRule type="cellIs" dxfId="184" priority="57" stopIfTrue="1" operator="lessThan">
      <formula>0.1</formula>
    </cfRule>
    <cfRule type="cellIs" dxfId="183" priority="58" stopIfTrue="1" operator="greaterThan">
      <formula>0.25</formula>
    </cfRule>
    <cfRule type="cellIs" dxfId="182" priority="59" stopIfTrue="1" operator="between">
      <formula>0.1</formula>
      <formula>0.25</formula>
    </cfRule>
    <cfRule type="cellIs" dxfId="181" priority="60" stopIfTrue="1" operator="between">
      <formula>0</formula>
      <formula>0.1</formula>
    </cfRule>
  </conditionalFormatting>
  <conditionalFormatting sqref="Q855:Q868">
    <cfRule type="cellIs" dxfId="164" priority="52" stopIfTrue="1" operator="lessThan">
      <formula>0.1</formula>
    </cfRule>
    <cfRule type="cellIs" dxfId="163" priority="53" stopIfTrue="1" operator="between">
      <formula>0.1</formula>
      <formula>0.25</formula>
    </cfRule>
    <cfRule type="cellIs" dxfId="162" priority="54" stopIfTrue="1" operator="greaterThan">
      <formula>0.25</formula>
    </cfRule>
    <cfRule type="cellIs" dxfId="161" priority="55" stopIfTrue="1" operator="lessThan">
      <formula>0.1</formula>
    </cfRule>
  </conditionalFormatting>
  <conditionalFormatting sqref="Q855:Q868">
    <cfRule type="cellIs" dxfId="156" priority="50" stopIfTrue="1" operator="between">
      <formula>0.1001</formula>
      <formula>0.25</formula>
    </cfRule>
    <cfRule type="cellIs" dxfId="155" priority="51" stopIfTrue="1" operator="between">
      <formula>0</formula>
      <formula>0.1</formula>
    </cfRule>
  </conditionalFormatting>
  <conditionalFormatting sqref="Q855:Q868">
    <cfRule type="cellIs" dxfId="152" priority="45" stopIfTrue="1" operator="between">
      <formula>0.1</formula>
      <formula>0.25</formula>
    </cfRule>
    <cfRule type="cellIs" dxfId="151" priority="46" stopIfTrue="1" operator="lessThan">
      <formula>0.1</formula>
    </cfRule>
    <cfRule type="cellIs" dxfId="150" priority="47" stopIfTrue="1" operator="greaterThan">
      <formula>0.25</formula>
    </cfRule>
    <cfRule type="cellIs" dxfId="149" priority="48" stopIfTrue="1" operator="between">
      <formula>0.1</formula>
      <formula>0.25</formula>
    </cfRule>
    <cfRule type="cellIs" dxfId="148" priority="49" stopIfTrue="1" operator="between">
      <formula>0</formula>
      <formula>0.1</formula>
    </cfRule>
  </conditionalFormatting>
  <conditionalFormatting sqref="Q811:Q846">
    <cfRule type="cellIs" dxfId="131" priority="41" stopIfTrue="1" operator="lessThan">
      <formula>0.1</formula>
    </cfRule>
    <cfRule type="cellIs" dxfId="130" priority="42" stopIfTrue="1" operator="between">
      <formula>0.1</formula>
      <formula>0.25</formula>
    </cfRule>
    <cfRule type="cellIs" dxfId="129" priority="43" stopIfTrue="1" operator="greaterThan">
      <formula>0.25</formula>
    </cfRule>
    <cfRule type="cellIs" dxfId="128" priority="44" stopIfTrue="1" operator="lessThan">
      <formula>0.1</formula>
    </cfRule>
  </conditionalFormatting>
  <conditionalFormatting sqref="Q811:Q846">
    <cfRule type="cellIs" dxfId="123" priority="39" stopIfTrue="1" operator="between">
      <formula>0.1001</formula>
      <formula>0.25</formula>
    </cfRule>
    <cfRule type="cellIs" dxfId="122" priority="40" stopIfTrue="1" operator="between">
      <formula>0</formula>
      <formula>0.1</formula>
    </cfRule>
  </conditionalFormatting>
  <conditionalFormatting sqref="Q811:Q846">
    <cfRule type="cellIs" dxfId="119" priority="34" stopIfTrue="1" operator="between">
      <formula>0.1</formula>
      <formula>0.25</formula>
    </cfRule>
    <cfRule type="cellIs" dxfId="118" priority="35" stopIfTrue="1" operator="lessThan">
      <formula>0.1</formula>
    </cfRule>
    <cfRule type="cellIs" dxfId="117" priority="36" stopIfTrue="1" operator="greaterThan">
      <formula>0.25</formula>
    </cfRule>
    <cfRule type="cellIs" dxfId="116" priority="37" stopIfTrue="1" operator="between">
      <formula>0.1</formula>
      <formula>0.25</formula>
    </cfRule>
    <cfRule type="cellIs" dxfId="115" priority="38" stopIfTrue="1" operator="between">
      <formula>0</formula>
      <formula>0.1</formula>
    </cfRule>
  </conditionalFormatting>
  <conditionalFormatting sqref="Q795:Q800">
    <cfRule type="cellIs" dxfId="98" priority="30" stopIfTrue="1" operator="lessThan">
      <formula>0.1</formula>
    </cfRule>
    <cfRule type="cellIs" dxfId="97" priority="31" stopIfTrue="1" operator="between">
      <formula>0.1</formula>
      <formula>0.25</formula>
    </cfRule>
    <cfRule type="cellIs" dxfId="96" priority="32" stopIfTrue="1" operator="greaterThan">
      <formula>0.25</formula>
    </cfRule>
    <cfRule type="cellIs" dxfId="95" priority="33" stopIfTrue="1" operator="lessThan">
      <formula>0.1</formula>
    </cfRule>
  </conditionalFormatting>
  <conditionalFormatting sqref="Q795:Q800">
    <cfRule type="cellIs" dxfId="90" priority="28" stopIfTrue="1" operator="between">
      <formula>0.1001</formula>
      <formula>0.25</formula>
    </cfRule>
    <cfRule type="cellIs" dxfId="89" priority="29" stopIfTrue="1" operator="between">
      <formula>0</formula>
      <formula>0.1</formula>
    </cfRule>
  </conditionalFormatting>
  <conditionalFormatting sqref="Q795:Q800">
    <cfRule type="cellIs" dxfId="86" priority="23" stopIfTrue="1" operator="between">
      <formula>0.1</formula>
      <formula>0.25</formula>
    </cfRule>
    <cfRule type="cellIs" dxfId="85" priority="24" stopIfTrue="1" operator="lessThan">
      <formula>0.1</formula>
    </cfRule>
    <cfRule type="cellIs" dxfId="84" priority="25" stopIfTrue="1" operator="greaterThan">
      <formula>0.25</formula>
    </cfRule>
    <cfRule type="cellIs" dxfId="83" priority="26" stopIfTrue="1" operator="between">
      <formula>0.1</formula>
      <formula>0.25</formula>
    </cfRule>
    <cfRule type="cellIs" dxfId="82" priority="27" stopIfTrue="1" operator="between">
      <formula>0</formula>
      <formula>0.1</formula>
    </cfRule>
  </conditionalFormatting>
  <conditionalFormatting sqref="Q779:Q785">
    <cfRule type="cellIs" dxfId="65" priority="19" stopIfTrue="1" operator="lessThan">
      <formula>0.1</formula>
    </cfRule>
    <cfRule type="cellIs" dxfId="64" priority="20" stopIfTrue="1" operator="between">
      <formula>0.1</formula>
      <formula>0.25</formula>
    </cfRule>
    <cfRule type="cellIs" dxfId="63" priority="21" stopIfTrue="1" operator="greaterThan">
      <formula>0.25</formula>
    </cfRule>
    <cfRule type="cellIs" dxfId="62" priority="22" stopIfTrue="1" operator="lessThan">
      <formula>0.1</formula>
    </cfRule>
  </conditionalFormatting>
  <conditionalFormatting sqref="Q779:Q785">
    <cfRule type="cellIs" dxfId="57" priority="17" stopIfTrue="1" operator="between">
      <formula>0.1001</formula>
      <formula>0.25</formula>
    </cfRule>
    <cfRule type="cellIs" dxfId="56" priority="18" stopIfTrue="1" operator="between">
      <formula>0</formula>
      <formula>0.1</formula>
    </cfRule>
  </conditionalFormatting>
  <conditionalFormatting sqref="Q779:Q785">
    <cfRule type="cellIs" dxfId="53" priority="12" stopIfTrue="1" operator="between">
      <formula>0.1</formula>
      <formula>0.25</formula>
    </cfRule>
    <cfRule type="cellIs" dxfId="52" priority="13" stopIfTrue="1" operator="lessThan">
      <formula>0.1</formula>
    </cfRule>
    <cfRule type="cellIs" dxfId="51" priority="14" stopIfTrue="1" operator="greaterThan">
      <formula>0.25</formula>
    </cfRule>
    <cfRule type="cellIs" dxfId="50" priority="15" stopIfTrue="1" operator="between">
      <formula>0.1</formula>
      <formula>0.25</formula>
    </cfRule>
    <cfRule type="cellIs" dxfId="49" priority="16" stopIfTrue="1" operator="between">
      <formula>0</formula>
      <formula>0.1</formula>
    </cfRule>
  </conditionalFormatting>
  <conditionalFormatting sqref="Q754:Q768">
    <cfRule type="cellIs" dxfId="32" priority="8" stopIfTrue="1" operator="lessThan">
      <formula>0.1</formula>
    </cfRule>
    <cfRule type="cellIs" dxfId="31" priority="9" stopIfTrue="1" operator="between">
      <formula>0.1</formula>
      <formula>0.25</formula>
    </cfRule>
    <cfRule type="cellIs" dxfId="30" priority="10" stopIfTrue="1" operator="greaterThan">
      <formula>0.25</formula>
    </cfRule>
    <cfRule type="cellIs" dxfId="29" priority="11" stopIfTrue="1" operator="lessThan">
      <formula>0.1</formula>
    </cfRule>
  </conditionalFormatting>
  <conditionalFormatting sqref="Q754:Q768">
    <cfRule type="cellIs" dxfId="24" priority="6" stopIfTrue="1" operator="between">
      <formula>0.1001</formula>
      <formula>0.25</formula>
    </cfRule>
    <cfRule type="cellIs" dxfId="23" priority="7" stopIfTrue="1" operator="between">
      <formula>0</formula>
      <formula>0.1</formula>
    </cfRule>
  </conditionalFormatting>
  <conditionalFormatting sqref="Q754:Q768">
    <cfRule type="cellIs" dxfId="20" priority="1" stopIfTrue="1" operator="between">
      <formula>0.1</formula>
      <formula>0.25</formula>
    </cfRule>
    <cfRule type="cellIs" dxfId="19" priority="2" stopIfTrue="1" operator="lessThan">
      <formula>0.1</formula>
    </cfRule>
    <cfRule type="cellIs" dxfId="18" priority="3" stopIfTrue="1" operator="greaterThan">
      <formula>0.25</formula>
    </cfRule>
    <cfRule type="cellIs" dxfId="17" priority="4" stopIfTrue="1" operator="between">
      <formula>0.1</formula>
      <formula>0.25</formula>
    </cfRule>
    <cfRule type="cellIs" dxfId="16" priority="5" stopIfTrue="1" operator="between">
      <formula>0</formula>
      <formula>0.1</formula>
    </cfRule>
  </conditionalFormatting>
  <hyperlinks>
    <hyperlink ref="N798" r:id="rId1" display="http://oscor.com/medical-devices/pacemakers-Pace203.html"/>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dimension ref="A1:T317"/>
  <sheetViews>
    <sheetView topLeftCell="A257" workbookViewId="0">
      <selection activeCell="F275" sqref="F275"/>
    </sheetView>
  </sheetViews>
  <sheetFormatPr defaultColWidth="8.85546875" defaultRowHeight="12"/>
  <cols>
    <col min="1" max="1" width="5.5703125" style="1174" customWidth="1"/>
    <col min="2" max="2" width="5.7109375" style="1174" customWidth="1"/>
    <col min="3" max="3" width="35" style="1459" customWidth="1"/>
    <col min="4" max="4" width="8.28515625" style="1459" customWidth="1"/>
    <col min="5" max="5" width="5.7109375" style="1459" bestFit="1" customWidth="1"/>
    <col min="6" max="6" width="8.85546875" style="1460" customWidth="1"/>
    <col min="7" max="7" width="11.140625" style="1461" bestFit="1" customWidth="1"/>
    <col min="8" max="8" width="13.42578125" style="1461" bestFit="1" customWidth="1"/>
    <col min="9" max="9" width="13.28515625" style="1459" customWidth="1"/>
    <col min="10" max="10" width="7.42578125" style="1459" customWidth="1"/>
    <col min="11" max="11" width="6.85546875" style="1175" customWidth="1"/>
    <col min="12" max="12" width="22.5703125" style="1462" customWidth="1"/>
    <col min="13" max="16384" width="8.85546875" style="1174"/>
  </cols>
  <sheetData>
    <row r="1" spans="1:13" s="1171" customFormat="1" ht="17.25">
      <c r="C1" s="2182" t="s">
        <v>0</v>
      </c>
      <c r="D1" s="2182"/>
      <c r="E1" s="2182"/>
      <c r="F1" s="2182"/>
      <c r="G1" s="2182"/>
      <c r="H1" s="2182"/>
      <c r="I1" s="2182"/>
      <c r="J1" s="2182"/>
      <c r="K1" s="1172"/>
      <c r="L1" s="1173"/>
      <c r="M1" s="1173"/>
    </row>
    <row r="2" spans="1:13" ht="17.25">
      <c r="C2" s="2182" t="s">
        <v>2603</v>
      </c>
      <c r="D2" s="2182"/>
      <c r="E2" s="2182"/>
      <c r="F2" s="2182"/>
      <c r="G2" s="2182"/>
      <c r="H2" s="2182"/>
      <c r="I2" s="2182"/>
      <c r="J2" s="2182"/>
      <c r="L2" s="1174"/>
    </row>
    <row r="3" spans="1:13" s="1171" customFormat="1" ht="17.25">
      <c r="C3" s="2183" t="s">
        <v>2</v>
      </c>
      <c r="D3" s="2183"/>
      <c r="E3" s="2183"/>
      <c r="F3" s="2183"/>
      <c r="G3" s="2183"/>
      <c r="H3" s="2183"/>
      <c r="I3" s="2183"/>
      <c r="J3" s="2183"/>
      <c r="K3" s="1172"/>
      <c r="L3" s="1176"/>
      <c r="M3" s="1176"/>
    </row>
    <row r="4" spans="1:13" s="1171" customFormat="1" ht="17.25">
      <c r="C4" s="1177"/>
      <c r="D4" s="1177"/>
      <c r="E4" s="1177"/>
      <c r="F4" s="1177"/>
      <c r="G4" s="1177"/>
      <c r="H4" s="1177"/>
      <c r="I4" s="1177"/>
      <c r="J4" s="1177"/>
      <c r="K4" s="1172"/>
      <c r="L4" s="1178" t="s">
        <v>2604</v>
      </c>
      <c r="M4" s="1176"/>
    </row>
    <row r="5" spans="1:13" s="1183" customFormat="1" ht="42">
      <c r="A5" s="1179" t="s">
        <v>2605</v>
      </c>
      <c r="B5" s="1179" t="s">
        <v>2606</v>
      </c>
      <c r="C5" s="1179" t="s">
        <v>2607</v>
      </c>
      <c r="D5" s="1179" t="s">
        <v>2608</v>
      </c>
      <c r="E5" s="1179" t="s">
        <v>2609</v>
      </c>
      <c r="F5" s="1179" t="s">
        <v>2610</v>
      </c>
      <c r="G5" s="1180" t="s">
        <v>2611</v>
      </c>
      <c r="H5" s="1180" t="s">
        <v>2612</v>
      </c>
      <c r="I5" s="1181" t="s">
        <v>2613</v>
      </c>
      <c r="J5" s="1182" t="s">
        <v>2614</v>
      </c>
      <c r="K5" s="1179" t="s">
        <v>2615</v>
      </c>
      <c r="L5" s="1179" t="s">
        <v>2616</v>
      </c>
      <c r="M5" s="1183">
        <v>1</v>
      </c>
    </row>
    <row r="6" spans="1:13" s="1189" customFormat="1" ht="56.25">
      <c r="A6" s="1184">
        <v>91</v>
      </c>
      <c r="B6" s="1184">
        <v>1</v>
      </c>
      <c r="C6" s="1185" t="s">
        <v>2617</v>
      </c>
      <c r="D6" s="1186" t="s">
        <v>1424</v>
      </c>
      <c r="E6" s="1186" t="s">
        <v>192</v>
      </c>
      <c r="F6" s="1186">
        <v>4</v>
      </c>
      <c r="G6" s="1187">
        <v>44700000</v>
      </c>
      <c r="H6" s="1187">
        <f>G6*F6</f>
        <v>178800000</v>
      </c>
      <c r="I6" s="1186" t="s">
        <v>2618</v>
      </c>
      <c r="J6" s="1186"/>
      <c r="K6" s="1186">
        <v>10</v>
      </c>
      <c r="L6" s="1188" t="s">
        <v>1202</v>
      </c>
    </row>
    <row r="7" spans="1:13" s="1189" customFormat="1" ht="56.25">
      <c r="A7" s="1190">
        <v>92</v>
      </c>
      <c r="B7" s="1190">
        <v>2</v>
      </c>
      <c r="C7" s="1191" t="s">
        <v>2619</v>
      </c>
      <c r="D7" s="1192" t="s">
        <v>1424</v>
      </c>
      <c r="E7" s="1192" t="s">
        <v>192</v>
      </c>
      <c r="F7" s="1192">
        <v>4</v>
      </c>
      <c r="G7" s="1193">
        <v>51800000</v>
      </c>
      <c r="H7" s="1193">
        <f>G7*F7</f>
        <v>207200000</v>
      </c>
      <c r="I7" s="1192" t="s">
        <v>2618</v>
      </c>
      <c r="J7" s="1192"/>
      <c r="K7" s="1192">
        <v>10</v>
      </c>
      <c r="L7" s="1194" t="s">
        <v>1202</v>
      </c>
    </row>
    <row r="8" spans="1:13" s="1189" customFormat="1" ht="56.25">
      <c r="A8" s="1190">
        <v>93</v>
      </c>
      <c r="B8" s="1190">
        <v>3</v>
      </c>
      <c r="C8" s="1191" t="s">
        <v>2620</v>
      </c>
      <c r="D8" s="1192" t="s">
        <v>1424</v>
      </c>
      <c r="E8" s="1192" t="s">
        <v>192</v>
      </c>
      <c r="F8" s="1192">
        <v>1</v>
      </c>
      <c r="G8" s="1193">
        <v>79200000</v>
      </c>
      <c r="H8" s="1193">
        <f>G8*F8</f>
        <v>79200000</v>
      </c>
      <c r="I8" s="1192" t="s">
        <v>2618</v>
      </c>
      <c r="J8" s="1192"/>
      <c r="K8" s="1192">
        <v>10</v>
      </c>
      <c r="L8" s="1194" t="s">
        <v>1202</v>
      </c>
    </row>
    <row r="9" spans="1:13" s="1189" customFormat="1" ht="56.25">
      <c r="A9" s="1195">
        <v>94</v>
      </c>
      <c r="B9" s="1195">
        <v>4</v>
      </c>
      <c r="C9" s="1196" t="s">
        <v>2621</v>
      </c>
      <c r="D9" s="1197" t="s">
        <v>1424</v>
      </c>
      <c r="E9" s="1197" t="s">
        <v>192</v>
      </c>
      <c r="F9" s="1197">
        <v>1</v>
      </c>
      <c r="G9" s="1198">
        <v>88900000</v>
      </c>
      <c r="H9" s="1198">
        <f>G9*F9</f>
        <v>88900000</v>
      </c>
      <c r="I9" s="1197" t="s">
        <v>2618</v>
      </c>
      <c r="J9" s="1197"/>
      <c r="K9" s="1197">
        <v>10</v>
      </c>
      <c r="L9" s="1199" t="s">
        <v>1202</v>
      </c>
    </row>
    <row r="10" spans="1:13" s="1189" customFormat="1" ht="11.25">
      <c r="A10" s="1200"/>
      <c r="B10" s="1200"/>
      <c r="C10" s="1201" t="s">
        <v>2622</v>
      </c>
      <c r="D10" s="1179"/>
      <c r="E10" s="1179"/>
      <c r="F10" s="1179"/>
      <c r="G10" s="1202"/>
      <c r="H10" s="1202">
        <f>SUM(H6:H9)</f>
        <v>554100000</v>
      </c>
      <c r="I10" s="1179"/>
      <c r="J10" s="1179"/>
      <c r="K10" s="1179"/>
      <c r="L10" s="1203"/>
    </row>
    <row r="11" spans="1:13" s="1189" customFormat="1" ht="11.25">
      <c r="A11" s="1204"/>
      <c r="B11" s="1204"/>
      <c r="C11" s="2184" t="s">
        <v>2623</v>
      </c>
      <c r="D11" s="2184"/>
      <c r="E11" s="2184"/>
      <c r="F11" s="2184"/>
      <c r="G11" s="2184"/>
      <c r="H11" s="2184"/>
      <c r="I11" s="2184"/>
      <c r="J11" s="2184"/>
      <c r="K11" s="1205"/>
      <c r="L11" s="1206"/>
    </row>
    <row r="12" spans="1:13" s="1211" customFormat="1" ht="11.25">
      <c r="A12" s="1207"/>
      <c r="B12" s="1207"/>
      <c r="C12" s="1208"/>
      <c r="D12" s="1208"/>
      <c r="E12" s="1208"/>
      <c r="F12" s="1208"/>
      <c r="G12" s="1208"/>
      <c r="H12" s="1208"/>
      <c r="I12" s="1208"/>
      <c r="J12" s="1208"/>
      <c r="K12" s="1209"/>
      <c r="L12" s="1210"/>
    </row>
    <row r="13" spans="1:13" s="1211" customFormat="1" ht="11.25">
      <c r="A13" s="1207"/>
      <c r="B13" s="1207"/>
      <c r="C13" s="1208"/>
      <c r="D13" s="1208"/>
      <c r="E13" s="1208"/>
      <c r="F13" s="1208"/>
      <c r="G13" s="1208"/>
      <c r="H13" s="1208"/>
      <c r="I13" s="1208"/>
      <c r="J13" s="1208"/>
      <c r="K13" s="1209"/>
      <c r="L13" s="1210"/>
    </row>
    <row r="14" spans="1:13" s="1211" customFormat="1" ht="11.25">
      <c r="A14" s="1207"/>
      <c r="B14" s="1207"/>
      <c r="C14" s="1208"/>
      <c r="D14" s="1208"/>
      <c r="E14" s="1208"/>
      <c r="F14" s="1208"/>
      <c r="G14" s="1208"/>
      <c r="H14" s="1208"/>
      <c r="I14" s="1208"/>
      <c r="J14" s="1208"/>
      <c r="K14" s="1209"/>
      <c r="L14" s="1210"/>
    </row>
    <row r="15" spans="1:13" s="1211" customFormat="1" ht="11.25">
      <c r="A15" s="1207"/>
      <c r="B15" s="1207"/>
      <c r="C15" s="1212"/>
      <c r="D15" s="1209"/>
      <c r="E15" s="1209"/>
      <c r="F15" s="1209"/>
      <c r="G15" s="1213"/>
      <c r="H15" s="1213"/>
      <c r="I15" s="1209"/>
      <c r="J15" s="1209"/>
      <c r="K15" s="1209"/>
      <c r="L15" s="1210"/>
    </row>
    <row r="16" spans="1:13" s="1189" customFormat="1" ht="42">
      <c r="A16" s="1179" t="s">
        <v>2605</v>
      </c>
      <c r="B16" s="1179" t="s">
        <v>2606</v>
      </c>
      <c r="C16" s="1179" t="s">
        <v>2607</v>
      </c>
      <c r="D16" s="1179" t="s">
        <v>2608</v>
      </c>
      <c r="E16" s="1179" t="s">
        <v>2609</v>
      </c>
      <c r="F16" s="1179" t="s">
        <v>2610</v>
      </c>
      <c r="G16" s="1180" t="s">
        <v>2611</v>
      </c>
      <c r="H16" s="1180" t="s">
        <v>2612</v>
      </c>
      <c r="I16" s="1181" t="s">
        <v>2613</v>
      </c>
      <c r="J16" s="1182" t="s">
        <v>2614</v>
      </c>
      <c r="K16" s="1179" t="s">
        <v>2615</v>
      </c>
      <c r="L16" s="1179" t="s">
        <v>2616</v>
      </c>
      <c r="M16" s="1189">
        <v>2</v>
      </c>
    </row>
    <row r="17" spans="1:20" s="1189" customFormat="1" ht="45">
      <c r="A17" s="1214">
        <v>69</v>
      </c>
      <c r="B17" s="1214">
        <v>1</v>
      </c>
      <c r="C17" s="1194" t="s">
        <v>2624</v>
      </c>
      <c r="D17" s="1214" t="s">
        <v>1542</v>
      </c>
      <c r="E17" s="1214" t="s">
        <v>47</v>
      </c>
      <c r="F17" s="1214">
        <v>50</v>
      </c>
      <c r="G17" s="1215">
        <v>7500000</v>
      </c>
      <c r="H17" s="1215">
        <f>F17*G17</f>
        <v>375000000</v>
      </c>
      <c r="I17" s="1214" t="s">
        <v>2625</v>
      </c>
      <c r="J17" s="1214" t="s">
        <v>2626</v>
      </c>
      <c r="K17" s="1214">
        <v>6</v>
      </c>
      <c r="L17" s="1194" t="s">
        <v>2627</v>
      </c>
      <c r="Q17" s="1216"/>
      <c r="R17" s="1216"/>
      <c r="S17" s="1216"/>
      <c r="T17" s="1216"/>
    </row>
    <row r="18" spans="1:20" s="1189" customFormat="1" ht="45">
      <c r="A18" s="1214">
        <v>70</v>
      </c>
      <c r="B18" s="1214">
        <v>2</v>
      </c>
      <c r="C18" s="1194" t="s">
        <v>2628</v>
      </c>
      <c r="D18" s="1214" t="s">
        <v>1542</v>
      </c>
      <c r="E18" s="1214" t="s">
        <v>47</v>
      </c>
      <c r="F18" s="1214">
        <v>10</v>
      </c>
      <c r="G18" s="1215">
        <v>24000000</v>
      </c>
      <c r="H18" s="1215">
        <f>F18*G18</f>
        <v>240000000</v>
      </c>
      <c r="I18" s="1214" t="s">
        <v>2625</v>
      </c>
      <c r="J18" s="1217" t="s">
        <v>2629</v>
      </c>
      <c r="K18" s="1214">
        <v>6</v>
      </c>
      <c r="L18" s="1194" t="s">
        <v>2627</v>
      </c>
      <c r="Q18" s="1216"/>
      <c r="R18" s="1216"/>
      <c r="S18" s="1216"/>
      <c r="T18" s="1216"/>
    </row>
    <row r="19" spans="1:20" s="1222" customFormat="1" ht="10.5">
      <c r="A19" s="1200"/>
      <c r="B19" s="1200"/>
      <c r="C19" s="1179" t="s">
        <v>2622</v>
      </c>
      <c r="D19" s="1179"/>
      <c r="E19" s="1179"/>
      <c r="F19" s="1200"/>
      <c r="G19" s="1218"/>
      <c r="H19" s="1218">
        <f>SUM(H17:H18)</f>
        <v>615000000</v>
      </c>
      <c r="I19" s="1219"/>
      <c r="J19" s="1179"/>
      <c r="K19" s="1220"/>
      <c r="L19" s="1201"/>
      <c r="M19" s="1221"/>
      <c r="N19" s="1221"/>
      <c r="O19" s="1221"/>
      <c r="P19" s="1221"/>
      <c r="Q19" s="1221"/>
      <c r="R19" s="1221"/>
      <c r="S19" s="1221"/>
      <c r="T19" s="1221"/>
    </row>
    <row r="20" spans="1:20" s="1224" customFormat="1" ht="11.25">
      <c r="A20" s="1200"/>
      <c r="B20" s="1200"/>
      <c r="C20" s="2184" t="s">
        <v>2630</v>
      </c>
      <c r="D20" s="2184"/>
      <c r="E20" s="2184"/>
      <c r="F20" s="2184"/>
      <c r="G20" s="2184"/>
      <c r="H20" s="2184"/>
      <c r="I20" s="2184"/>
      <c r="J20" s="1179"/>
      <c r="K20" s="1220"/>
      <c r="L20" s="1201"/>
      <c r="M20" s="1223"/>
      <c r="N20" s="1223"/>
      <c r="O20" s="1223"/>
      <c r="P20" s="1223"/>
      <c r="Q20" s="1223"/>
      <c r="R20" s="1223"/>
      <c r="S20" s="1223"/>
      <c r="T20" s="1223"/>
    </row>
    <row r="21" spans="1:20" s="1224" customFormat="1" ht="30.6" customHeight="1">
      <c r="A21" s="1225"/>
      <c r="B21" s="1225"/>
      <c r="C21" s="1208"/>
      <c r="D21" s="1208"/>
      <c r="E21" s="1208"/>
      <c r="F21" s="1208"/>
      <c r="G21" s="1208"/>
      <c r="H21" s="1208"/>
      <c r="I21" s="1208"/>
      <c r="J21" s="1226"/>
      <c r="K21" s="1227"/>
      <c r="L21" s="1228"/>
      <c r="M21" s="1223"/>
      <c r="N21" s="1223"/>
      <c r="O21" s="1223"/>
      <c r="P21" s="1223"/>
      <c r="Q21" s="1223"/>
      <c r="R21" s="1223"/>
      <c r="S21" s="1223"/>
      <c r="T21" s="1223"/>
    </row>
    <row r="22" spans="1:20" s="1211" customFormat="1" ht="21.6" customHeight="1">
      <c r="A22" s="1229"/>
      <c r="B22" s="1229"/>
      <c r="C22" s="1210"/>
      <c r="D22" s="1229"/>
      <c r="E22" s="1229"/>
      <c r="F22" s="1229"/>
      <c r="G22" s="1230"/>
      <c r="H22" s="1230"/>
      <c r="I22" s="1229"/>
      <c r="J22" s="1231"/>
      <c r="K22" s="1229"/>
      <c r="L22" s="1210"/>
      <c r="Q22" s="1232"/>
      <c r="R22" s="1232"/>
      <c r="S22" s="1232"/>
      <c r="T22" s="1232"/>
    </row>
    <row r="23" spans="1:20" s="1189" customFormat="1" ht="42">
      <c r="A23" s="1179" t="s">
        <v>2605</v>
      </c>
      <c r="B23" s="1179" t="s">
        <v>2606</v>
      </c>
      <c r="C23" s="1179" t="s">
        <v>2607</v>
      </c>
      <c r="D23" s="1179" t="s">
        <v>2608</v>
      </c>
      <c r="E23" s="1179" t="s">
        <v>2609</v>
      </c>
      <c r="F23" s="1179" t="s">
        <v>2610</v>
      </c>
      <c r="G23" s="1180" t="s">
        <v>2611</v>
      </c>
      <c r="H23" s="1180" t="s">
        <v>2612</v>
      </c>
      <c r="I23" s="1181" t="s">
        <v>2613</v>
      </c>
      <c r="J23" s="1182" t="s">
        <v>2614</v>
      </c>
      <c r="K23" s="1179" t="s">
        <v>2615</v>
      </c>
      <c r="L23" s="1179" t="s">
        <v>2616</v>
      </c>
      <c r="M23" s="1189">
        <v>3</v>
      </c>
      <c r="Q23" s="1216"/>
      <c r="R23" s="1216"/>
      <c r="S23" s="1216"/>
      <c r="T23" s="1216"/>
    </row>
    <row r="24" spans="1:20" s="1236" customFormat="1" ht="22.5">
      <c r="A24" s="1192">
        <v>65</v>
      </c>
      <c r="B24" s="1192">
        <v>2</v>
      </c>
      <c r="C24" s="1191" t="s">
        <v>2631</v>
      </c>
      <c r="D24" s="1190" t="s">
        <v>1542</v>
      </c>
      <c r="E24" s="1190" t="s">
        <v>47</v>
      </c>
      <c r="F24" s="1190">
        <v>50</v>
      </c>
      <c r="G24" s="1233">
        <v>37000000</v>
      </c>
      <c r="H24" s="1233">
        <f>F24*G24</f>
        <v>1850000000</v>
      </c>
      <c r="I24" s="1234" t="s">
        <v>2632</v>
      </c>
      <c r="J24" s="1190" t="s">
        <v>2633</v>
      </c>
      <c r="K24" s="1235">
        <v>5</v>
      </c>
      <c r="L24" s="1191" t="s">
        <v>2634</v>
      </c>
      <c r="M24" s="1189"/>
      <c r="N24" s="1189"/>
      <c r="O24" s="1189"/>
      <c r="P24" s="1189"/>
      <c r="Q24" s="1189"/>
      <c r="R24" s="1189"/>
      <c r="S24" s="1189"/>
      <c r="T24" s="1189"/>
    </row>
    <row r="25" spans="1:20" s="1242" customFormat="1" ht="33.75">
      <c r="A25" s="1190">
        <v>104</v>
      </c>
      <c r="B25" s="1190">
        <v>3</v>
      </c>
      <c r="C25" s="1191" t="s">
        <v>2635</v>
      </c>
      <c r="D25" s="1192" t="s">
        <v>539</v>
      </c>
      <c r="E25" s="1192" t="s">
        <v>1484</v>
      </c>
      <c r="F25" s="1190">
        <v>1</v>
      </c>
      <c r="G25" s="1237">
        <v>65000000</v>
      </c>
      <c r="H25" s="1237">
        <f>F25*G25</f>
        <v>65000000</v>
      </c>
      <c r="I25" s="1238" t="s">
        <v>2636</v>
      </c>
      <c r="J25" s="1239" t="s">
        <v>2637</v>
      </c>
      <c r="K25" s="1240">
        <v>8</v>
      </c>
      <c r="L25" s="1194" t="s">
        <v>2634</v>
      </c>
      <c r="M25" s="1241"/>
      <c r="N25" s="1241"/>
      <c r="O25" s="1241"/>
      <c r="P25" s="1241"/>
      <c r="Q25" s="1241"/>
      <c r="R25" s="1241"/>
      <c r="S25" s="1241"/>
      <c r="T25" s="1241"/>
    </row>
    <row r="26" spans="1:20" s="1222" customFormat="1" ht="58.9" customHeight="1">
      <c r="A26" s="1195">
        <v>108</v>
      </c>
      <c r="B26" s="1195">
        <v>4</v>
      </c>
      <c r="C26" s="1196" t="s">
        <v>2638</v>
      </c>
      <c r="D26" s="1197" t="s">
        <v>539</v>
      </c>
      <c r="E26" s="1197" t="s">
        <v>1484</v>
      </c>
      <c r="F26" s="1195">
        <v>5</v>
      </c>
      <c r="G26" s="1243">
        <v>8000000</v>
      </c>
      <c r="H26" s="1243">
        <f>F26*G26</f>
        <v>40000000</v>
      </c>
      <c r="I26" s="1244" t="s">
        <v>2639</v>
      </c>
      <c r="J26" s="1197" t="s">
        <v>2640</v>
      </c>
      <c r="K26" s="1245">
        <v>8</v>
      </c>
      <c r="L26" s="1196" t="s">
        <v>2634</v>
      </c>
      <c r="M26" s="1221"/>
      <c r="N26" s="1221"/>
      <c r="O26" s="1221"/>
      <c r="P26" s="1221"/>
      <c r="Q26" s="1221"/>
      <c r="R26" s="1221"/>
      <c r="S26" s="1221"/>
      <c r="T26" s="1221"/>
    </row>
    <row r="27" spans="1:20" s="1222" customFormat="1" ht="10.5">
      <c r="A27" s="1200"/>
      <c r="B27" s="1200"/>
      <c r="C27" s="1179" t="s">
        <v>2622</v>
      </c>
      <c r="D27" s="1179"/>
      <c r="E27" s="1179"/>
      <c r="F27" s="1200"/>
      <c r="G27" s="1218"/>
      <c r="H27" s="1218">
        <f>SUM(H24:H26)</f>
        <v>1955000000</v>
      </c>
      <c r="I27" s="1219"/>
      <c r="J27" s="1179"/>
      <c r="K27" s="1220"/>
      <c r="L27" s="1201"/>
      <c r="M27" s="1221"/>
      <c r="N27" s="1221"/>
      <c r="O27" s="1221"/>
      <c r="P27" s="1221"/>
      <c r="Q27" s="1221"/>
      <c r="R27" s="1221"/>
      <c r="S27" s="1221"/>
      <c r="T27" s="1221"/>
    </row>
    <row r="28" spans="1:20" s="1224" customFormat="1" ht="11.25">
      <c r="A28" s="1200"/>
      <c r="B28" s="1200"/>
      <c r="C28" s="2184" t="s">
        <v>2641</v>
      </c>
      <c r="D28" s="2184"/>
      <c r="E28" s="2184"/>
      <c r="F28" s="2184"/>
      <c r="G28" s="2184"/>
      <c r="H28" s="2184"/>
      <c r="I28" s="2184"/>
      <c r="J28" s="1179"/>
      <c r="K28" s="1220"/>
      <c r="L28" s="1201"/>
      <c r="M28" s="1223"/>
      <c r="N28" s="1223"/>
      <c r="O28" s="1223"/>
      <c r="P28" s="1223"/>
      <c r="Q28" s="1223"/>
      <c r="R28" s="1223"/>
      <c r="S28" s="1223"/>
      <c r="T28" s="1223"/>
    </row>
    <row r="29" spans="1:20" s="1224" customFormat="1" ht="10.5">
      <c r="A29" s="1225"/>
      <c r="B29" s="1225"/>
      <c r="C29" s="1226"/>
      <c r="D29" s="1226"/>
      <c r="E29" s="1226"/>
      <c r="F29" s="1225"/>
      <c r="G29" s="1246"/>
      <c r="H29" s="1246"/>
      <c r="I29" s="1247"/>
      <c r="J29" s="1226"/>
      <c r="K29" s="1227"/>
      <c r="L29" s="1228"/>
      <c r="M29" s="1223"/>
      <c r="N29" s="1223"/>
      <c r="O29" s="1223"/>
      <c r="P29" s="1223"/>
      <c r="Q29" s="1223"/>
      <c r="R29" s="1223"/>
      <c r="S29" s="1223"/>
      <c r="T29" s="1223"/>
    </row>
    <row r="30" spans="1:20" s="1249" customFormat="1" ht="11.25">
      <c r="A30" s="1225"/>
      <c r="B30" s="1225"/>
      <c r="C30" s="1226"/>
      <c r="D30" s="1226"/>
      <c r="E30" s="1226"/>
      <c r="F30" s="1225"/>
      <c r="G30" s="1246"/>
      <c r="H30" s="1246"/>
      <c r="I30" s="1247"/>
      <c r="J30" s="1226"/>
      <c r="K30" s="1227"/>
      <c r="L30" s="1228"/>
      <c r="M30" s="1248"/>
      <c r="N30" s="1248"/>
      <c r="O30" s="1248"/>
      <c r="P30" s="1248"/>
      <c r="Q30" s="1248"/>
      <c r="R30" s="1248"/>
      <c r="S30" s="1248"/>
      <c r="T30" s="1248"/>
    </row>
    <row r="31" spans="1:20" s="1242" customFormat="1" ht="11.25">
      <c r="A31" s="1207"/>
      <c r="B31" s="1207"/>
      <c r="C31" s="1212"/>
      <c r="D31" s="1209"/>
      <c r="E31" s="1209"/>
      <c r="F31" s="1207"/>
      <c r="G31" s="1250"/>
      <c r="H31" s="1250"/>
      <c r="I31" s="1251"/>
      <c r="J31" s="1209"/>
      <c r="K31" s="1252"/>
      <c r="L31" s="1212"/>
      <c r="M31" s="1241"/>
      <c r="N31" s="1241"/>
      <c r="O31" s="1241"/>
      <c r="P31" s="1241"/>
      <c r="Q31" s="1241"/>
      <c r="R31" s="1241"/>
      <c r="S31" s="1241"/>
      <c r="T31" s="1241"/>
    </row>
    <row r="32" spans="1:20" s="1189" customFormat="1" ht="42">
      <c r="A32" s="1179" t="s">
        <v>2605</v>
      </c>
      <c r="B32" s="1179" t="s">
        <v>2606</v>
      </c>
      <c r="C32" s="1179" t="s">
        <v>2607</v>
      </c>
      <c r="D32" s="1179" t="s">
        <v>2608</v>
      </c>
      <c r="E32" s="1179" t="s">
        <v>2609</v>
      </c>
      <c r="F32" s="1179" t="s">
        <v>2610</v>
      </c>
      <c r="G32" s="1180" t="s">
        <v>2611</v>
      </c>
      <c r="H32" s="1180" t="s">
        <v>2612</v>
      </c>
      <c r="I32" s="1181" t="s">
        <v>2613</v>
      </c>
      <c r="J32" s="1182" t="s">
        <v>2614</v>
      </c>
      <c r="K32" s="1179" t="s">
        <v>2615</v>
      </c>
      <c r="L32" s="1179" t="s">
        <v>2616</v>
      </c>
      <c r="M32" s="1189">
        <v>4</v>
      </c>
    </row>
    <row r="33" spans="1:20" s="1189" customFormat="1" ht="56.25">
      <c r="A33" s="1214">
        <v>13</v>
      </c>
      <c r="B33" s="1214">
        <v>1</v>
      </c>
      <c r="C33" s="1194" t="s">
        <v>2642</v>
      </c>
      <c r="D33" s="1253" t="s">
        <v>192</v>
      </c>
      <c r="E33" s="1214" t="s">
        <v>192</v>
      </c>
      <c r="F33" s="1214">
        <v>30</v>
      </c>
      <c r="G33" s="1254">
        <v>18900000</v>
      </c>
      <c r="H33" s="1254">
        <f t="shared" ref="H33:H39" si="0">G33*F33</f>
        <v>567000000</v>
      </c>
      <c r="I33" s="1214" t="s">
        <v>2643</v>
      </c>
      <c r="J33" s="1214" t="s">
        <v>2644</v>
      </c>
      <c r="K33" s="1214">
        <v>1</v>
      </c>
      <c r="L33" s="1194" t="s">
        <v>1851</v>
      </c>
    </row>
    <row r="34" spans="1:20" s="1189" customFormat="1" ht="22.5">
      <c r="A34" s="1214">
        <v>14</v>
      </c>
      <c r="B34" s="1214">
        <v>2</v>
      </c>
      <c r="C34" s="1194" t="s">
        <v>2645</v>
      </c>
      <c r="D34" s="1253" t="s">
        <v>1848</v>
      </c>
      <c r="E34" s="1214" t="s">
        <v>47</v>
      </c>
      <c r="F34" s="1214">
        <v>2</v>
      </c>
      <c r="G34" s="1254">
        <v>13700000</v>
      </c>
      <c r="H34" s="1254">
        <f t="shared" si="0"/>
        <v>27400000</v>
      </c>
      <c r="I34" s="1214" t="s">
        <v>2646</v>
      </c>
      <c r="J34" s="1214" t="s">
        <v>2647</v>
      </c>
      <c r="K34" s="1214">
        <v>1</v>
      </c>
      <c r="L34" s="1194" t="s">
        <v>1851</v>
      </c>
    </row>
    <row r="35" spans="1:20" s="1189" customFormat="1" ht="22.5">
      <c r="A35" s="1214">
        <v>15</v>
      </c>
      <c r="B35" s="1214">
        <v>3</v>
      </c>
      <c r="C35" s="1194" t="s">
        <v>2648</v>
      </c>
      <c r="D35" s="1253" t="s">
        <v>1848</v>
      </c>
      <c r="E35" s="1214" t="s">
        <v>47</v>
      </c>
      <c r="F35" s="1214">
        <v>30</v>
      </c>
      <c r="G35" s="1254">
        <v>27900000</v>
      </c>
      <c r="H35" s="1254">
        <f t="shared" si="0"/>
        <v>837000000</v>
      </c>
      <c r="I35" s="1214" t="s">
        <v>2649</v>
      </c>
      <c r="J35" s="1214" t="s">
        <v>2650</v>
      </c>
      <c r="K35" s="1214">
        <v>4</v>
      </c>
      <c r="L35" s="1194" t="s">
        <v>1851</v>
      </c>
    </row>
    <row r="36" spans="1:20" s="1189" customFormat="1" ht="33.75">
      <c r="A36" s="1214">
        <v>16</v>
      </c>
      <c r="B36" s="1214">
        <v>4</v>
      </c>
      <c r="C36" s="1194" t="s">
        <v>2651</v>
      </c>
      <c r="D36" s="1253" t="s">
        <v>192</v>
      </c>
      <c r="E36" s="1214" t="s">
        <v>192</v>
      </c>
      <c r="F36" s="1214">
        <v>10</v>
      </c>
      <c r="G36" s="1254">
        <v>39900000</v>
      </c>
      <c r="H36" s="1254">
        <f t="shared" si="0"/>
        <v>399000000</v>
      </c>
      <c r="I36" s="1214" t="s">
        <v>2652</v>
      </c>
      <c r="J36" s="1214" t="s">
        <v>2653</v>
      </c>
      <c r="K36" s="1214">
        <v>4</v>
      </c>
      <c r="L36" s="1194" t="s">
        <v>1851</v>
      </c>
      <c r="M36" s="1255"/>
      <c r="N36" s="1255"/>
      <c r="O36" s="1255"/>
      <c r="P36" s="1255"/>
    </row>
    <row r="37" spans="1:20" s="1189" customFormat="1" ht="33.75">
      <c r="A37" s="1214">
        <v>17</v>
      </c>
      <c r="B37" s="1214">
        <v>5</v>
      </c>
      <c r="C37" s="1194" t="s">
        <v>2654</v>
      </c>
      <c r="D37" s="1253" t="s">
        <v>192</v>
      </c>
      <c r="E37" s="1214" t="s">
        <v>192</v>
      </c>
      <c r="F37" s="1214">
        <v>10</v>
      </c>
      <c r="G37" s="1254">
        <v>45000000</v>
      </c>
      <c r="H37" s="1254">
        <f t="shared" si="0"/>
        <v>450000000</v>
      </c>
      <c r="I37" s="1214" t="s">
        <v>2652</v>
      </c>
      <c r="J37" s="1214" t="s">
        <v>2655</v>
      </c>
      <c r="K37" s="1214">
        <v>4</v>
      </c>
      <c r="L37" s="1194" t="s">
        <v>1851</v>
      </c>
    </row>
    <row r="38" spans="1:20" s="1189" customFormat="1" ht="33.75">
      <c r="A38" s="1214">
        <v>18</v>
      </c>
      <c r="B38" s="1214">
        <v>6</v>
      </c>
      <c r="C38" s="1194" t="s">
        <v>2656</v>
      </c>
      <c r="D38" s="1253" t="s">
        <v>192</v>
      </c>
      <c r="E38" s="1214" t="s">
        <v>192</v>
      </c>
      <c r="F38" s="1214">
        <v>10</v>
      </c>
      <c r="G38" s="1254">
        <v>54000000</v>
      </c>
      <c r="H38" s="1254">
        <f t="shared" si="0"/>
        <v>540000000</v>
      </c>
      <c r="I38" s="1214" t="s">
        <v>2652</v>
      </c>
      <c r="J38" s="1214" t="s">
        <v>2657</v>
      </c>
      <c r="K38" s="1214">
        <v>4</v>
      </c>
      <c r="L38" s="1194" t="s">
        <v>1851</v>
      </c>
    </row>
    <row r="39" spans="1:20" s="1222" customFormat="1" ht="22.5">
      <c r="A39" s="1214">
        <v>89</v>
      </c>
      <c r="B39" s="1214">
        <v>7</v>
      </c>
      <c r="C39" s="1194" t="s">
        <v>2658</v>
      </c>
      <c r="D39" s="1253" t="s">
        <v>1542</v>
      </c>
      <c r="E39" s="1214" t="s">
        <v>192</v>
      </c>
      <c r="F39" s="1214">
        <v>1</v>
      </c>
      <c r="G39" s="1254">
        <v>80000000</v>
      </c>
      <c r="H39" s="1254">
        <f t="shared" si="0"/>
        <v>80000000</v>
      </c>
      <c r="I39" s="1214" t="s">
        <v>2659</v>
      </c>
      <c r="J39" s="1214" t="s">
        <v>2660</v>
      </c>
      <c r="K39" s="1214">
        <v>4</v>
      </c>
      <c r="L39" s="1194" t="s">
        <v>1851</v>
      </c>
      <c r="M39" s="1221"/>
      <c r="N39" s="1221"/>
      <c r="O39" s="1221"/>
      <c r="P39" s="1221"/>
      <c r="Q39" s="1221"/>
      <c r="R39" s="1221"/>
      <c r="S39" s="1221"/>
      <c r="T39" s="1221"/>
    </row>
    <row r="40" spans="1:20" s="1189" customFormat="1" ht="11.25">
      <c r="A40" s="1200"/>
      <c r="B40" s="1200"/>
      <c r="C40" s="1179" t="s">
        <v>2622</v>
      </c>
      <c r="D40" s="1179"/>
      <c r="E40" s="1179"/>
      <c r="F40" s="1200"/>
      <c r="G40" s="1218"/>
      <c r="H40" s="1218">
        <f>SUM(H33:H39)</f>
        <v>2900400000</v>
      </c>
      <c r="I40" s="1219"/>
      <c r="J40" s="1179"/>
      <c r="K40" s="1220"/>
      <c r="L40" s="1201"/>
    </row>
    <row r="41" spans="1:20" s="1189" customFormat="1" ht="21">
      <c r="A41" s="1200"/>
      <c r="B41" s="1200"/>
      <c r="C41" s="1179" t="s">
        <v>2661</v>
      </c>
      <c r="D41" s="1179"/>
      <c r="E41" s="1179"/>
      <c r="F41" s="1200"/>
      <c r="G41" s="1218"/>
      <c r="H41" s="1218"/>
      <c r="I41" s="1219"/>
      <c r="J41" s="1179"/>
      <c r="K41" s="1220"/>
      <c r="L41" s="1201"/>
    </row>
    <row r="42" spans="1:20" s="1211" customFormat="1" ht="12.6" customHeight="1">
      <c r="A42" s="1225"/>
      <c r="B42" s="1225"/>
      <c r="C42" s="1226"/>
      <c r="D42" s="1226"/>
      <c r="E42" s="1226"/>
      <c r="F42" s="1225"/>
      <c r="G42" s="1246"/>
      <c r="H42" s="1246"/>
      <c r="I42" s="1247"/>
      <c r="J42" s="1226"/>
      <c r="K42" s="1227"/>
      <c r="L42" s="1228"/>
    </row>
    <row r="43" spans="1:20" s="1211" customFormat="1" ht="11.25">
      <c r="A43" s="1229"/>
      <c r="B43" s="1229"/>
      <c r="C43" s="1210"/>
      <c r="D43" s="1256"/>
      <c r="E43" s="1229"/>
      <c r="F43" s="1229"/>
      <c r="G43" s="1257"/>
      <c r="H43" s="1257"/>
      <c r="I43" s="1229"/>
      <c r="J43" s="1229"/>
      <c r="K43" s="1229"/>
      <c r="L43" s="1210"/>
    </row>
    <row r="44" spans="1:20" s="1211" customFormat="1" ht="11.25">
      <c r="A44" s="1229"/>
      <c r="B44" s="1229"/>
      <c r="C44" s="1210"/>
      <c r="D44" s="1256"/>
      <c r="E44" s="1229"/>
      <c r="F44" s="1229"/>
      <c r="G44" s="1257"/>
      <c r="H44" s="1257"/>
      <c r="I44" s="1229"/>
      <c r="J44" s="1229"/>
      <c r="K44" s="1229"/>
      <c r="L44" s="1210"/>
    </row>
    <row r="45" spans="1:20" s="1189" customFormat="1" ht="42">
      <c r="A45" s="1179" t="s">
        <v>2605</v>
      </c>
      <c r="B45" s="1179" t="s">
        <v>2606</v>
      </c>
      <c r="C45" s="1179" t="s">
        <v>2607</v>
      </c>
      <c r="D45" s="1179" t="s">
        <v>2608</v>
      </c>
      <c r="E45" s="1179" t="s">
        <v>2609</v>
      </c>
      <c r="F45" s="1179" t="s">
        <v>2610</v>
      </c>
      <c r="G45" s="1180" t="s">
        <v>2611</v>
      </c>
      <c r="H45" s="1180" t="s">
        <v>2612</v>
      </c>
      <c r="I45" s="1181" t="s">
        <v>2613</v>
      </c>
      <c r="J45" s="1182" t="s">
        <v>2614</v>
      </c>
      <c r="K45" s="1179" t="s">
        <v>2615</v>
      </c>
      <c r="L45" s="1179" t="s">
        <v>2616</v>
      </c>
      <c r="M45" s="1189">
        <v>5</v>
      </c>
    </row>
    <row r="46" spans="1:20" s="1189" customFormat="1" ht="33.75">
      <c r="A46" s="1258">
        <v>38</v>
      </c>
      <c r="B46" s="1214">
        <v>1</v>
      </c>
      <c r="C46" s="1194" t="s">
        <v>2662</v>
      </c>
      <c r="D46" s="1258" t="s">
        <v>1424</v>
      </c>
      <c r="E46" s="1258" t="s">
        <v>47</v>
      </c>
      <c r="F46" s="1258">
        <v>20</v>
      </c>
      <c r="G46" s="1259">
        <v>8000000</v>
      </c>
      <c r="H46" s="1259">
        <f>G46*F46</f>
        <v>160000000</v>
      </c>
      <c r="I46" s="1258" t="s">
        <v>2663</v>
      </c>
      <c r="J46" s="1214" t="s">
        <v>2664</v>
      </c>
      <c r="K46" s="1258"/>
      <c r="L46" s="1194" t="s">
        <v>2665</v>
      </c>
    </row>
    <row r="47" spans="1:20" s="1189" customFormat="1" ht="33.75">
      <c r="A47" s="1258">
        <v>39</v>
      </c>
      <c r="B47" s="1214">
        <v>2</v>
      </c>
      <c r="C47" s="1194" t="s">
        <v>2666</v>
      </c>
      <c r="D47" s="1258" t="s">
        <v>1424</v>
      </c>
      <c r="E47" s="1258" t="s">
        <v>47</v>
      </c>
      <c r="F47" s="1258">
        <v>20</v>
      </c>
      <c r="G47" s="1259">
        <v>12000000</v>
      </c>
      <c r="H47" s="1259">
        <f>G47*F47</f>
        <v>240000000</v>
      </c>
      <c r="I47" s="1258" t="s">
        <v>2663</v>
      </c>
      <c r="J47" s="1214" t="s">
        <v>2667</v>
      </c>
      <c r="K47" s="1258"/>
      <c r="L47" s="1194" t="s">
        <v>2665</v>
      </c>
    </row>
    <row r="48" spans="1:20" s="1222" customFormat="1" ht="33.75">
      <c r="A48" s="1258">
        <v>111</v>
      </c>
      <c r="B48" s="1214">
        <v>3</v>
      </c>
      <c r="C48" s="1260" t="s">
        <v>2668</v>
      </c>
      <c r="D48" s="1258" t="s">
        <v>539</v>
      </c>
      <c r="E48" s="1258" t="s">
        <v>47</v>
      </c>
      <c r="F48" s="1258">
        <v>50</v>
      </c>
      <c r="G48" s="1259">
        <v>39000000</v>
      </c>
      <c r="H48" s="1259">
        <f>G48*F48</f>
        <v>1950000000</v>
      </c>
      <c r="I48" s="1258" t="s">
        <v>2669</v>
      </c>
      <c r="J48" s="1258" t="s">
        <v>2670</v>
      </c>
      <c r="K48" s="1258">
        <v>3</v>
      </c>
      <c r="L48" s="1194" t="s">
        <v>2665</v>
      </c>
      <c r="M48" s="1221"/>
      <c r="N48" s="1221"/>
      <c r="O48" s="1221"/>
      <c r="P48" s="1221"/>
      <c r="Q48" s="1221"/>
      <c r="R48" s="1221"/>
      <c r="S48" s="1221"/>
      <c r="T48" s="1221"/>
    </row>
    <row r="49" spans="1:20" s="1222" customFormat="1" ht="10.5">
      <c r="A49" s="1200"/>
      <c r="B49" s="1200"/>
      <c r="C49" s="1179" t="s">
        <v>2622</v>
      </c>
      <c r="D49" s="1179"/>
      <c r="E49" s="1179"/>
      <c r="F49" s="1200"/>
      <c r="G49" s="1218"/>
      <c r="H49" s="1218">
        <f>SUM(H46:H48)</f>
        <v>2350000000</v>
      </c>
      <c r="I49" s="1219"/>
      <c r="J49" s="1179"/>
      <c r="K49" s="1220"/>
      <c r="L49" s="1201"/>
      <c r="M49" s="1221"/>
      <c r="N49" s="1221"/>
      <c r="O49" s="1221"/>
      <c r="P49" s="1221"/>
      <c r="Q49" s="1221"/>
      <c r="R49" s="1221"/>
      <c r="S49" s="1221"/>
      <c r="T49" s="1221"/>
    </row>
    <row r="50" spans="1:20" s="1222" customFormat="1" ht="21">
      <c r="A50" s="1200"/>
      <c r="B50" s="1200"/>
      <c r="C50" s="1179" t="s">
        <v>2671</v>
      </c>
      <c r="D50" s="1179"/>
      <c r="E50" s="1179"/>
      <c r="F50" s="1200"/>
      <c r="G50" s="1218"/>
      <c r="H50" s="1218"/>
      <c r="I50" s="1219"/>
      <c r="J50" s="1179"/>
      <c r="K50" s="1220"/>
      <c r="L50" s="1201"/>
      <c r="M50" s="1221"/>
      <c r="N50" s="1221"/>
      <c r="O50" s="1221"/>
      <c r="P50" s="1221"/>
      <c r="Q50" s="1221"/>
      <c r="R50" s="1221"/>
      <c r="S50" s="1221"/>
      <c r="T50" s="1221"/>
    </row>
    <row r="51" spans="1:20" s="1222" customFormat="1" ht="19.899999999999999" customHeight="1">
      <c r="A51" s="1261"/>
      <c r="B51" s="1261"/>
      <c r="C51" s="1262"/>
      <c r="D51" s="1262"/>
      <c r="E51" s="1262"/>
      <c r="F51" s="1261"/>
      <c r="G51" s="1263"/>
      <c r="H51" s="1263"/>
      <c r="I51" s="1264"/>
      <c r="J51" s="1262"/>
      <c r="K51" s="1265"/>
      <c r="L51" s="1266"/>
      <c r="M51" s="1221"/>
      <c r="N51" s="1221"/>
      <c r="O51" s="1221"/>
      <c r="P51" s="1221"/>
      <c r="Q51" s="1221"/>
      <c r="R51" s="1221"/>
      <c r="S51" s="1221"/>
      <c r="T51" s="1221"/>
    </row>
    <row r="52" spans="1:20" s="1222" customFormat="1" ht="19.899999999999999" customHeight="1">
      <c r="A52" s="1261"/>
      <c r="B52" s="1261"/>
      <c r="C52" s="1262"/>
      <c r="D52" s="1262"/>
      <c r="E52" s="1262"/>
      <c r="F52" s="1261"/>
      <c r="G52" s="1263"/>
      <c r="H52" s="1263"/>
      <c r="I52" s="1264"/>
      <c r="J52" s="1262"/>
      <c r="K52" s="1265"/>
      <c r="L52" s="1266"/>
      <c r="M52" s="1221"/>
      <c r="N52" s="1221"/>
      <c r="O52" s="1221"/>
      <c r="P52" s="1221"/>
      <c r="Q52" s="1221"/>
      <c r="R52" s="1221"/>
      <c r="S52" s="1221"/>
      <c r="T52" s="1221"/>
    </row>
    <row r="53" spans="1:20" s="1189" customFormat="1" ht="42">
      <c r="A53" s="1179" t="s">
        <v>2605</v>
      </c>
      <c r="B53" s="1179" t="s">
        <v>2606</v>
      </c>
      <c r="C53" s="1179" t="s">
        <v>2607</v>
      </c>
      <c r="D53" s="1179" t="s">
        <v>2608</v>
      </c>
      <c r="E53" s="1179" t="s">
        <v>2609</v>
      </c>
      <c r="F53" s="1179" t="s">
        <v>2610</v>
      </c>
      <c r="G53" s="1180" t="s">
        <v>2611</v>
      </c>
      <c r="H53" s="1180" t="s">
        <v>2612</v>
      </c>
      <c r="I53" s="1181" t="s">
        <v>2613</v>
      </c>
      <c r="J53" s="1182" t="s">
        <v>2614</v>
      </c>
      <c r="K53" s="1179" t="s">
        <v>2615</v>
      </c>
      <c r="L53" s="1179" t="s">
        <v>2616</v>
      </c>
      <c r="M53" s="1267">
        <v>6</v>
      </c>
      <c r="N53" s="1267"/>
      <c r="O53" s="1267"/>
      <c r="P53" s="1267"/>
    </row>
    <row r="54" spans="1:20" s="1189" customFormat="1" ht="33.75">
      <c r="A54" s="1214">
        <v>61</v>
      </c>
      <c r="B54" s="1214">
        <v>1</v>
      </c>
      <c r="C54" s="1194" t="s">
        <v>2672</v>
      </c>
      <c r="D54" s="1268" t="s">
        <v>1542</v>
      </c>
      <c r="E54" s="1214" t="s">
        <v>47</v>
      </c>
      <c r="F54" s="1214">
        <v>30</v>
      </c>
      <c r="G54" s="1215">
        <v>7650000</v>
      </c>
      <c r="H54" s="1215">
        <f>F54*G54</f>
        <v>229500000</v>
      </c>
      <c r="I54" s="1214" t="s">
        <v>2673</v>
      </c>
      <c r="J54" s="1214"/>
      <c r="K54" s="1269">
        <v>4</v>
      </c>
      <c r="L54" s="1194" t="s">
        <v>2674</v>
      </c>
    </row>
    <row r="55" spans="1:20" s="1222" customFormat="1" ht="45">
      <c r="A55" s="1214">
        <v>95</v>
      </c>
      <c r="B55" s="1214">
        <v>2</v>
      </c>
      <c r="C55" s="1194" t="s">
        <v>2675</v>
      </c>
      <c r="D55" s="1268" t="s">
        <v>2332</v>
      </c>
      <c r="E55" s="1214" t="s">
        <v>47</v>
      </c>
      <c r="F55" s="1214">
        <v>50</v>
      </c>
      <c r="G55" s="1215">
        <v>36800000</v>
      </c>
      <c r="H55" s="1215">
        <f>F55*G55</f>
        <v>1840000000</v>
      </c>
      <c r="I55" s="1270" t="s">
        <v>2676</v>
      </c>
      <c r="J55" s="1214"/>
      <c r="K55" s="1269">
        <v>4</v>
      </c>
      <c r="L55" s="1194" t="s">
        <v>2674</v>
      </c>
      <c r="M55" s="1221"/>
      <c r="N55" s="1221"/>
      <c r="O55" s="1221"/>
      <c r="P55" s="1221"/>
      <c r="Q55" s="1221"/>
      <c r="R55" s="1221"/>
      <c r="S55" s="1221"/>
      <c r="T55" s="1221"/>
    </row>
    <row r="56" spans="1:20" s="1222" customFormat="1" ht="10.5">
      <c r="A56" s="1200"/>
      <c r="B56" s="1200"/>
      <c r="C56" s="1179" t="s">
        <v>2622</v>
      </c>
      <c r="D56" s="1179"/>
      <c r="E56" s="1179"/>
      <c r="F56" s="1200"/>
      <c r="G56" s="1218"/>
      <c r="H56" s="1218">
        <f>SUM(H54:H55)</f>
        <v>2069500000</v>
      </c>
      <c r="I56" s="1219"/>
      <c r="J56" s="1179"/>
      <c r="K56" s="1220"/>
      <c r="L56" s="1201"/>
      <c r="M56" s="1221"/>
      <c r="N56" s="1221"/>
      <c r="O56" s="1221"/>
      <c r="P56" s="1221"/>
      <c r="Q56" s="1221"/>
      <c r="R56" s="1221"/>
      <c r="S56" s="1221"/>
      <c r="T56" s="1221"/>
    </row>
    <row r="57" spans="1:20" s="1224" customFormat="1" ht="18.600000000000001" customHeight="1">
      <c r="A57" s="1200"/>
      <c r="B57" s="1200"/>
      <c r="C57" s="2185" t="s">
        <v>2677</v>
      </c>
      <c r="D57" s="2186"/>
      <c r="E57" s="2186"/>
      <c r="F57" s="2186"/>
      <c r="G57" s="2187"/>
      <c r="H57" s="1218"/>
      <c r="I57" s="1219"/>
      <c r="J57" s="1179"/>
      <c r="K57" s="1220"/>
      <c r="L57" s="1201"/>
      <c r="M57" s="1223"/>
      <c r="N57" s="1223"/>
      <c r="O57" s="1223"/>
      <c r="P57" s="1223"/>
      <c r="Q57" s="1223"/>
      <c r="R57" s="1223"/>
      <c r="S57" s="1223"/>
      <c r="T57" s="1223"/>
    </row>
    <row r="58" spans="1:20" s="1224" customFormat="1" ht="18.600000000000001" customHeight="1">
      <c r="A58" s="1225"/>
      <c r="B58" s="1225"/>
      <c r="C58" s="1226"/>
      <c r="D58" s="1226"/>
      <c r="E58" s="1226"/>
      <c r="F58" s="1225"/>
      <c r="G58" s="1246"/>
      <c r="H58" s="1246"/>
      <c r="I58" s="1247"/>
      <c r="J58" s="1226"/>
      <c r="K58" s="1227"/>
      <c r="L58" s="1228"/>
      <c r="M58" s="1223"/>
      <c r="N58" s="1223"/>
      <c r="O58" s="1223"/>
      <c r="P58" s="1223"/>
      <c r="Q58" s="1223"/>
      <c r="R58" s="1223"/>
      <c r="S58" s="1223"/>
      <c r="T58" s="1223"/>
    </row>
    <row r="59" spans="1:20" s="1224" customFormat="1" ht="18.600000000000001" customHeight="1">
      <c r="A59" s="1225"/>
      <c r="B59" s="1225"/>
      <c r="C59" s="1226"/>
      <c r="D59" s="1226"/>
      <c r="E59" s="1226"/>
      <c r="F59" s="1225"/>
      <c r="G59" s="1246"/>
      <c r="H59" s="1246"/>
      <c r="I59" s="1247"/>
      <c r="J59" s="1226"/>
      <c r="K59" s="1227"/>
      <c r="L59" s="1228"/>
      <c r="M59" s="1223"/>
      <c r="N59" s="1223"/>
      <c r="O59" s="1223"/>
      <c r="P59" s="1223"/>
      <c r="Q59" s="1223"/>
      <c r="R59" s="1223"/>
      <c r="S59" s="1223"/>
      <c r="T59" s="1223"/>
    </row>
    <row r="60" spans="1:20" s="1189" customFormat="1" ht="42">
      <c r="A60" s="1179" t="s">
        <v>2605</v>
      </c>
      <c r="B60" s="1179" t="s">
        <v>2606</v>
      </c>
      <c r="C60" s="1179" t="s">
        <v>2607</v>
      </c>
      <c r="D60" s="1179" t="s">
        <v>2608</v>
      </c>
      <c r="E60" s="1179" t="s">
        <v>2609</v>
      </c>
      <c r="F60" s="1179" t="s">
        <v>2610</v>
      </c>
      <c r="G60" s="1180" t="s">
        <v>2611</v>
      </c>
      <c r="H60" s="1180" t="s">
        <v>2612</v>
      </c>
      <c r="I60" s="1181" t="s">
        <v>2613</v>
      </c>
      <c r="J60" s="1182" t="s">
        <v>2614</v>
      </c>
      <c r="K60" s="1179" t="s">
        <v>2615</v>
      </c>
      <c r="L60" s="1179" t="s">
        <v>2616</v>
      </c>
      <c r="M60" s="1271">
        <v>7</v>
      </c>
      <c r="N60" s="1271"/>
      <c r="O60" s="1271"/>
      <c r="P60" s="1271"/>
    </row>
    <row r="61" spans="1:20" s="1189" customFormat="1" ht="45">
      <c r="A61" s="1272">
        <v>47</v>
      </c>
      <c r="B61" s="1272">
        <v>1</v>
      </c>
      <c r="C61" s="1273" t="s">
        <v>2678</v>
      </c>
      <c r="D61" s="1260" t="s">
        <v>2679</v>
      </c>
      <c r="E61" s="1274" t="s">
        <v>2168</v>
      </c>
      <c r="F61" s="1272">
        <v>5</v>
      </c>
      <c r="G61" s="1275">
        <v>3570000</v>
      </c>
      <c r="H61" s="1276">
        <f>F61*G61</f>
        <v>17850000</v>
      </c>
      <c r="I61" s="1260" t="s">
        <v>2680</v>
      </c>
      <c r="J61" s="1260" t="s">
        <v>2681</v>
      </c>
      <c r="K61" s="1258">
        <v>2</v>
      </c>
      <c r="L61" s="1194" t="s">
        <v>2682</v>
      </c>
    </row>
    <row r="62" spans="1:20" s="1189" customFormat="1" ht="33.75">
      <c r="A62" s="1272">
        <v>52</v>
      </c>
      <c r="B62" s="1272">
        <v>2</v>
      </c>
      <c r="C62" s="1260" t="s">
        <v>2683</v>
      </c>
      <c r="D62" s="1260" t="s">
        <v>2679</v>
      </c>
      <c r="E62" s="1274" t="s">
        <v>209</v>
      </c>
      <c r="F62" s="1272">
        <v>40</v>
      </c>
      <c r="G62" s="1233">
        <v>15800000</v>
      </c>
      <c r="H62" s="1276">
        <f>F62*G62</f>
        <v>632000000</v>
      </c>
      <c r="I62" s="1260" t="s">
        <v>2684</v>
      </c>
      <c r="J62" s="1260" t="s">
        <v>2685</v>
      </c>
      <c r="K62" s="1258">
        <v>4</v>
      </c>
      <c r="L62" s="1194" t="s">
        <v>2682</v>
      </c>
      <c r="M62" s="1277"/>
      <c r="N62" s="1277"/>
      <c r="O62" s="1277"/>
      <c r="P62" s="1277"/>
    </row>
    <row r="63" spans="1:20" s="1222" customFormat="1" ht="33.75">
      <c r="A63" s="1272">
        <v>60</v>
      </c>
      <c r="B63" s="1272">
        <v>3</v>
      </c>
      <c r="C63" s="1273" t="s">
        <v>2686</v>
      </c>
      <c r="D63" s="1260" t="s">
        <v>2679</v>
      </c>
      <c r="E63" s="1274" t="s">
        <v>209</v>
      </c>
      <c r="F63" s="1272">
        <v>20</v>
      </c>
      <c r="G63" s="1278">
        <v>7000000</v>
      </c>
      <c r="H63" s="1276">
        <f>F63*G63</f>
        <v>140000000</v>
      </c>
      <c r="I63" s="1260" t="s">
        <v>2684</v>
      </c>
      <c r="J63" s="1274" t="s">
        <v>2687</v>
      </c>
      <c r="K63" s="1258">
        <v>4</v>
      </c>
      <c r="L63" s="1194" t="s">
        <v>2682</v>
      </c>
      <c r="M63" s="1221"/>
      <c r="N63" s="1221"/>
      <c r="O63" s="1221"/>
      <c r="P63" s="1221"/>
      <c r="Q63" s="1221"/>
      <c r="R63" s="1221"/>
      <c r="S63" s="1221"/>
      <c r="T63" s="1221"/>
    </row>
    <row r="64" spans="1:20" s="1222" customFormat="1" ht="10.5">
      <c r="A64" s="1200"/>
      <c r="B64" s="1200"/>
      <c r="C64" s="1179" t="s">
        <v>2622</v>
      </c>
      <c r="D64" s="1179"/>
      <c r="E64" s="1179"/>
      <c r="F64" s="1200"/>
      <c r="G64" s="1218"/>
      <c r="H64" s="1218">
        <f>SUM(H61:H63)</f>
        <v>789850000</v>
      </c>
      <c r="I64" s="1219"/>
      <c r="J64" s="1179"/>
      <c r="K64" s="1220"/>
      <c r="L64" s="1201"/>
      <c r="M64" s="1221"/>
      <c r="N64" s="1221"/>
      <c r="O64" s="1221"/>
      <c r="P64" s="1221"/>
      <c r="Q64" s="1221"/>
      <c r="R64" s="1221"/>
      <c r="S64" s="1221"/>
      <c r="T64" s="1221"/>
    </row>
    <row r="65" spans="1:20" s="1222" customFormat="1" ht="10.5">
      <c r="A65" s="1200"/>
      <c r="B65" s="1200"/>
      <c r="C65" s="2188" t="s">
        <v>2688</v>
      </c>
      <c r="D65" s="2188"/>
      <c r="E65" s="2188"/>
      <c r="F65" s="2188"/>
      <c r="G65" s="2188"/>
      <c r="H65" s="1218"/>
      <c r="I65" s="1219"/>
      <c r="J65" s="1179"/>
      <c r="K65" s="1220"/>
      <c r="L65" s="1201"/>
      <c r="M65" s="1221"/>
      <c r="N65" s="1221"/>
      <c r="O65" s="1221"/>
      <c r="P65" s="1221"/>
      <c r="Q65" s="1221"/>
      <c r="R65" s="1221"/>
      <c r="S65" s="1221"/>
      <c r="T65" s="1221"/>
    </row>
    <row r="66" spans="1:20" s="1224" customFormat="1" ht="10.5">
      <c r="A66" s="1225"/>
      <c r="B66" s="1225"/>
      <c r="C66" s="1247"/>
      <c r="D66" s="1247"/>
      <c r="E66" s="1247"/>
      <c r="F66" s="1247"/>
      <c r="G66" s="1247"/>
      <c r="H66" s="1246"/>
      <c r="I66" s="1247"/>
      <c r="J66" s="1226"/>
      <c r="K66" s="1227"/>
      <c r="L66" s="1228"/>
      <c r="M66" s="1223"/>
      <c r="N66" s="1223"/>
      <c r="O66" s="1223"/>
      <c r="P66" s="1223"/>
      <c r="Q66" s="1223"/>
      <c r="R66" s="1223"/>
      <c r="S66" s="1223"/>
      <c r="T66" s="1223"/>
    </row>
    <row r="67" spans="1:20" s="1224" customFormat="1" ht="19.149999999999999" customHeight="1">
      <c r="A67" s="1225"/>
      <c r="B67" s="1225"/>
      <c r="C67" s="1226"/>
      <c r="D67" s="1226"/>
      <c r="E67" s="1226"/>
      <c r="F67" s="1225"/>
      <c r="G67" s="1246"/>
      <c r="H67" s="1246"/>
      <c r="I67" s="1247"/>
      <c r="J67" s="1226"/>
      <c r="K67" s="1227"/>
      <c r="L67" s="1228"/>
      <c r="M67" s="1223"/>
      <c r="N67" s="1223"/>
      <c r="O67" s="1223"/>
      <c r="P67" s="1223"/>
      <c r="Q67" s="1223"/>
      <c r="R67" s="1223"/>
      <c r="S67" s="1223"/>
      <c r="T67" s="1223"/>
    </row>
    <row r="68" spans="1:20" s="1224" customFormat="1" ht="10.5">
      <c r="A68" s="1225"/>
      <c r="B68" s="1225"/>
      <c r="C68" s="1226"/>
      <c r="D68" s="1226"/>
      <c r="E68" s="1226"/>
      <c r="F68" s="1225"/>
      <c r="G68" s="1246"/>
      <c r="H68" s="1246"/>
      <c r="I68" s="1247"/>
      <c r="J68" s="1226"/>
      <c r="K68" s="1227"/>
      <c r="L68" s="1228"/>
      <c r="M68" s="1223"/>
      <c r="N68" s="1223"/>
      <c r="O68" s="1223"/>
      <c r="P68" s="1223"/>
      <c r="Q68" s="1223"/>
      <c r="R68" s="1223"/>
      <c r="S68" s="1223"/>
      <c r="T68" s="1223"/>
    </row>
    <row r="69" spans="1:20" s="1189" customFormat="1" ht="42">
      <c r="A69" s="1179" t="s">
        <v>2605</v>
      </c>
      <c r="B69" s="1179" t="s">
        <v>2606</v>
      </c>
      <c r="C69" s="1179" t="s">
        <v>2607</v>
      </c>
      <c r="D69" s="1179" t="s">
        <v>2608</v>
      </c>
      <c r="E69" s="1179" t="s">
        <v>2609</v>
      </c>
      <c r="F69" s="1179" t="s">
        <v>2610</v>
      </c>
      <c r="G69" s="1180" t="s">
        <v>2611</v>
      </c>
      <c r="H69" s="1180" t="s">
        <v>2612</v>
      </c>
      <c r="I69" s="1181" t="s">
        <v>2613</v>
      </c>
      <c r="J69" s="1182" t="s">
        <v>2614</v>
      </c>
      <c r="K69" s="1179" t="s">
        <v>2615</v>
      </c>
      <c r="L69" s="1179" t="s">
        <v>2616</v>
      </c>
      <c r="M69" s="1189">
        <v>8</v>
      </c>
    </row>
    <row r="70" spans="1:20" s="1189" customFormat="1" ht="33.75">
      <c r="A70" s="1279">
        <v>76</v>
      </c>
      <c r="B70" s="1280">
        <v>1</v>
      </c>
      <c r="C70" s="1281" t="s">
        <v>2689</v>
      </c>
      <c r="D70" s="1280" t="s">
        <v>1260</v>
      </c>
      <c r="E70" s="1279" t="s">
        <v>47</v>
      </c>
      <c r="F70" s="1279">
        <v>50</v>
      </c>
      <c r="G70" s="1282">
        <v>42000000</v>
      </c>
      <c r="H70" s="1282">
        <f>G70*F70</f>
        <v>2100000000</v>
      </c>
      <c r="I70" s="1280" t="s">
        <v>2690</v>
      </c>
      <c r="J70" s="1280" t="s">
        <v>2691</v>
      </c>
      <c r="K70" s="1279">
        <v>8</v>
      </c>
      <c r="L70" s="1283" t="s">
        <v>2692</v>
      </c>
    </row>
    <row r="71" spans="1:20" s="1222" customFormat="1" ht="33.75">
      <c r="A71" s="1279">
        <v>77</v>
      </c>
      <c r="B71" s="1214">
        <v>2</v>
      </c>
      <c r="C71" s="1284" t="s">
        <v>2693</v>
      </c>
      <c r="D71" s="1280" t="s">
        <v>1260</v>
      </c>
      <c r="E71" s="1279" t="s">
        <v>47</v>
      </c>
      <c r="F71" s="1258">
        <v>30</v>
      </c>
      <c r="G71" s="1285">
        <v>42500000</v>
      </c>
      <c r="H71" s="1282">
        <f>G71*F71</f>
        <v>1275000000</v>
      </c>
      <c r="I71" s="1214" t="s">
        <v>2690</v>
      </c>
      <c r="J71" s="1214" t="s">
        <v>2691</v>
      </c>
      <c r="K71" s="1258">
        <v>8</v>
      </c>
      <c r="L71" s="1283" t="s">
        <v>2692</v>
      </c>
      <c r="M71" s="1221"/>
      <c r="N71" s="1221"/>
      <c r="O71" s="1221"/>
      <c r="P71" s="1221"/>
      <c r="Q71" s="1221"/>
      <c r="R71" s="1221"/>
      <c r="S71" s="1221"/>
      <c r="T71" s="1221"/>
    </row>
    <row r="72" spans="1:20" s="1189" customFormat="1" ht="11.25">
      <c r="A72" s="1200"/>
      <c r="B72" s="1200"/>
      <c r="C72" s="1179" t="s">
        <v>2622</v>
      </c>
      <c r="D72" s="1179"/>
      <c r="E72" s="1179"/>
      <c r="F72" s="1200"/>
      <c r="G72" s="1218"/>
      <c r="H72" s="1218">
        <f>SUM(H70:H71)</f>
        <v>3375000000</v>
      </c>
      <c r="I72" s="1219"/>
      <c r="J72" s="1179"/>
      <c r="K72" s="1220"/>
      <c r="L72" s="1201"/>
    </row>
    <row r="73" spans="1:20" s="1189" customFormat="1" ht="19.899999999999999" customHeight="1">
      <c r="A73" s="1200"/>
      <c r="B73" s="1200"/>
      <c r="C73" s="2188" t="s">
        <v>2694</v>
      </c>
      <c r="D73" s="2188"/>
      <c r="E73" s="2188"/>
      <c r="F73" s="2188"/>
      <c r="G73" s="2188"/>
      <c r="H73" s="1218"/>
      <c r="I73" s="1219"/>
      <c r="J73" s="1179"/>
      <c r="K73" s="1220"/>
      <c r="L73" s="1201"/>
    </row>
    <row r="74" spans="1:20" s="1211" customFormat="1" ht="19.899999999999999" customHeight="1">
      <c r="A74" s="1225"/>
      <c r="B74" s="1225"/>
      <c r="C74" s="1247"/>
      <c r="D74" s="1247"/>
      <c r="E74" s="1247"/>
      <c r="F74" s="1247"/>
      <c r="G74" s="1247"/>
      <c r="H74" s="1246"/>
      <c r="I74" s="1247"/>
      <c r="J74" s="1226"/>
      <c r="K74" s="1227"/>
      <c r="L74" s="1228"/>
    </row>
    <row r="75" spans="1:20" s="1211" customFormat="1" ht="19.899999999999999" customHeight="1">
      <c r="A75" s="1225"/>
      <c r="B75" s="1225"/>
      <c r="C75" s="1247"/>
      <c r="D75" s="1247"/>
      <c r="E75" s="1247"/>
      <c r="F75" s="1247"/>
      <c r="G75" s="1247"/>
      <c r="H75" s="1246"/>
      <c r="I75" s="1247"/>
      <c r="J75" s="1226"/>
      <c r="K75" s="1227"/>
      <c r="L75" s="1228"/>
    </row>
    <row r="76" spans="1:20" s="1189" customFormat="1" ht="33" customHeight="1">
      <c r="A76" s="1261"/>
      <c r="B76" s="1261"/>
      <c r="C76" s="1262"/>
      <c r="D76" s="1262"/>
      <c r="E76" s="1262"/>
      <c r="F76" s="1261"/>
      <c r="G76" s="1263"/>
      <c r="H76" s="1263"/>
      <c r="I76" s="1264"/>
      <c r="J76" s="1262"/>
      <c r="K76" s="1265"/>
      <c r="L76" s="1266"/>
    </row>
    <row r="77" spans="1:20" s="1189" customFormat="1" ht="11.25">
      <c r="A77" s="1279"/>
      <c r="B77" s="1214"/>
      <c r="C77" s="1284"/>
      <c r="D77" s="1280"/>
      <c r="E77" s="1279"/>
      <c r="F77" s="1258"/>
      <c r="G77" s="1285"/>
      <c r="H77" s="1282"/>
      <c r="I77" s="1214"/>
      <c r="J77" s="1214"/>
      <c r="K77" s="1258"/>
      <c r="L77" s="1283"/>
    </row>
    <row r="78" spans="1:20" s="1189" customFormat="1" ht="42">
      <c r="A78" s="1179" t="s">
        <v>2605</v>
      </c>
      <c r="B78" s="1179" t="s">
        <v>2606</v>
      </c>
      <c r="C78" s="1179" t="s">
        <v>2607</v>
      </c>
      <c r="D78" s="1179" t="s">
        <v>2608</v>
      </c>
      <c r="E78" s="1179" t="s">
        <v>2609</v>
      </c>
      <c r="F78" s="1179" t="s">
        <v>2610</v>
      </c>
      <c r="G78" s="1180" t="s">
        <v>2611</v>
      </c>
      <c r="H78" s="1180" t="s">
        <v>2612</v>
      </c>
      <c r="I78" s="1181" t="s">
        <v>2613</v>
      </c>
      <c r="J78" s="1182" t="s">
        <v>2614</v>
      </c>
      <c r="K78" s="1179" t="s">
        <v>2615</v>
      </c>
      <c r="L78" s="1179" t="s">
        <v>2616</v>
      </c>
      <c r="M78" s="1189">
        <v>9</v>
      </c>
    </row>
    <row r="79" spans="1:20" s="1189" customFormat="1" ht="22.5">
      <c r="A79" s="1192">
        <v>73</v>
      </c>
      <c r="B79" s="1192">
        <v>1</v>
      </c>
      <c r="C79" s="1191" t="s">
        <v>2695</v>
      </c>
      <c r="D79" s="1190" t="s">
        <v>1542</v>
      </c>
      <c r="E79" s="1190" t="s">
        <v>47</v>
      </c>
      <c r="F79" s="1190">
        <v>5</v>
      </c>
      <c r="G79" s="1233">
        <v>15800000</v>
      </c>
      <c r="H79" s="1286">
        <f>G79*F79</f>
        <v>79000000</v>
      </c>
      <c r="I79" s="1287" t="s">
        <v>2696</v>
      </c>
      <c r="J79" s="1190" t="s">
        <v>2697</v>
      </c>
      <c r="K79" s="1288">
        <v>4</v>
      </c>
      <c r="L79" s="1191" t="s">
        <v>2698</v>
      </c>
      <c r="M79" s="1277"/>
      <c r="N79" s="1277"/>
      <c r="O79" s="1277"/>
      <c r="P79" s="1277"/>
    </row>
    <row r="80" spans="1:20" s="1189" customFormat="1" ht="33.75">
      <c r="A80" s="1192">
        <v>74</v>
      </c>
      <c r="B80" s="1192">
        <v>2</v>
      </c>
      <c r="C80" s="1191" t="s">
        <v>2699</v>
      </c>
      <c r="D80" s="1190" t="s">
        <v>1542</v>
      </c>
      <c r="E80" s="1190" t="s">
        <v>47</v>
      </c>
      <c r="F80" s="1190">
        <v>60</v>
      </c>
      <c r="G80" s="1233">
        <v>36950000</v>
      </c>
      <c r="H80" s="1286">
        <f>G80*F80</f>
        <v>2217000000</v>
      </c>
      <c r="I80" s="1287" t="s">
        <v>2696</v>
      </c>
      <c r="J80" s="1190" t="s">
        <v>2700</v>
      </c>
      <c r="K80" s="1288">
        <v>4</v>
      </c>
      <c r="L80" s="1191" t="s">
        <v>2698</v>
      </c>
      <c r="M80" s="1289"/>
      <c r="N80" s="1289"/>
      <c r="O80" s="1289"/>
      <c r="P80" s="1289"/>
    </row>
    <row r="81" spans="1:20" s="1222" customFormat="1" ht="22.5">
      <c r="A81" s="1192">
        <v>75</v>
      </c>
      <c r="B81" s="1192">
        <v>3</v>
      </c>
      <c r="C81" s="1191" t="s">
        <v>2701</v>
      </c>
      <c r="D81" s="1190" t="s">
        <v>1542</v>
      </c>
      <c r="E81" s="1190" t="s">
        <v>47</v>
      </c>
      <c r="F81" s="1190">
        <v>1</v>
      </c>
      <c r="G81" s="1233">
        <v>36800000</v>
      </c>
      <c r="H81" s="1286">
        <f>G81*F81</f>
        <v>36800000</v>
      </c>
      <c r="I81" s="1287" t="s">
        <v>2696</v>
      </c>
      <c r="J81" s="1192" t="s">
        <v>2702</v>
      </c>
      <c r="K81" s="1288">
        <v>2</v>
      </c>
      <c r="L81" s="1191" t="s">
        <v>2698</v>
      </c>
      <c r="M81" s="1221"/>
      <c r="N81" s="1221"/>
      <c r="O81" s="1221"/>
      <c r="P81" s="1221"/>
      <c r="Q81" s="1221"/>
      <c r="R81" s="1221"/>
      <c r="S81" s="1221"/>
      <c r="T81" s="1221"/>
    </row>
    <row r="82" spans="1:20" s="1222" customFormat="1" ht="10.5">
      <c r="A82" s="1200"/>
      <c r="B82" s="1200"/>
      <c r="C82" s="1179" t="s">
        <v>2622</v>
      </c>
      <c r="D82" s="1179"/>
      <c r="E82" s="1179"/>
      <c r="F82" s="1200"/>
      <c r="G82" s="1218"/>
      <c r="H82" s="1218">
        <f>SUM(H79:H81)</f>
        <v>2332800000</v>
      </c>
      <c r="I82" s="1219"/>
      <c r="J82" s="1179"/>
      <c r="K82" s="1220"/>
      <c r="L82" s="1201"/>
      <c r="M82" s="1221"/>
      <c r="N82" s="1221"/>
      <c r="O82" s="1221"/>
      <c r="P82" s="1221"/>
      <c r="Q82" s="1221"/>
      <c r="R82" s="1221"/>
      <c r="S82" s="1221"/>
      <c r="T82" s="1221"/>
    </row>
    <row r="83" spans="1:20" s="1222" customFormat="1" ht="18.600000000000001" customHeight="1">
      <c r="A83" s="1200"/>
      <c r="B83" s="1200"/>
      <c r="C83" s="2188" t="s">
        <v>2703</v>
      </c>
      <c r="D83" s="2188"/>
      <c r="E83" s="2188"/>
      <c r="F83" s="2188"/>
      <c r="G83" s="2188"/>
      <c r="H83" s="1218"/>
      <c r="I83" s="1219"/>
      <c r="J83" s="1179"/>
      <c r="K83" s="1220"/>
      <c r="L83" s="1201"/>
      <c r="M83" s="1221"/>
      <c r="N83" s="1221"/>
      <c r="O83" s="1221"/>
      <c r="P83" s="1221"/>
      <c r="Q83" s="1221"/>
      <c r="R83" s="1221"/>
      <c r="S83" s="1221"/>
      <c r="T83" s="1221"/>
    </row>
    <row r="84" spans="1:20" s="1224" customFormat="1" ht="31.15" customHeight="1">
      <c r="A84" s="1225"/>
      <c r="B84" s="1225"/>
      <c r="C84" s="1226"/>
      <c r="D84" s="1226"/>
      <c r="E84" s="1226"/>
      <c r="F84" s="1225"/>
      <c r="G84" s="1246"/>
      <c r="H84" s="1246"/>
      <c r="I84" s="1247"/>
      <c r="J84" s="1226"/>
      <c r="K84" s="1227"/>
      <c r="L84" s="1228"/>
      <c r="M84" s="1223"/>
      <c r="N84" s="1223"/>
      <c r="O84" s="1223"/>
      <c r="P84" s="1223"/>
      <c r="Q84" s="1223"/>
      <c r="R84" s="1223"/>
      <c r="S84" s="1223"/>
      <c r="T84" s="1223"/>
    </row>
    <row r="85" spans="1:20" s="1211" customFormat="1" ht="11.25">
      <c r="A85" s="1225"/>
      <c r="B85" s="1225"/>
      <c r="C85" s="1226"/>
      <c r="D85" s="1226"/>
      <c r="E85" s="1226"/>
      <c r="F85" s="1225"/>
      <c r="G85" s="1246"/>
      <c r="H85" s="1246"/>
      <c r="I85" s="1247"/>
      <c r="J85" s="1226"/>
      <c r="K85" s="1227"/>
      <c r="L85" s="1228"/>
      <c r="M85" s="1290"/>
      <c r="N85" s="1290"/>
      <c r="O85" s="1290"/>
      <c r="P85" s="1290"/>
    </row>
    <row r="86" spans="1:20" s="1189" customFormat="1" ht="42">
      <c r="A86" s="1179" t="s">
        <v>2605</v>
      </c>
      <c r="B86" s="1179" t="s">
        <v>2606</v>
      </c>
      <c r="C86" s="1179" t="s">
        <v>2607</v>
      </c>
      <c r="D86" s="1179" t="s">
        <v>2608</v>
      </c>
      <c r="E86" s="1179" t="s">
        <v>2609</v>
      </c>
      <c r="F86" s="1179" t="s">
        <v>2610</v>
      </c>
      <c r="G86" s="1180" t="s">
        <v>2611</v>
      </c>
      <c r="H86" s="1180" t="s">
        <v>2612</v>
      </c>
      <c r="I86" s="1181" t="s">
        <v>2613</v>
      </c>
      <c r="J86" s="1182" t="s">
        <v>2614</v>
      </c>
      <c r="K86" s="1179" t="s">
        <v>2615</v>
      </c>
      <c r="L86" s="1179" t="s">
        <v>2616</v>
      </c>
      <c r="M86" s="1189">
        <v>10</v>
      </c>
    </row>
    <row r="87" spans="1:20" s="1189" customFormat="1" ht="315">
      <c r="A87" s="1291">
        <v>5</v>
      </c>
      <c r="B87" s="1291">
        <v>1</v>
      </c>
      <c r="C87" s="1292" t="s">
        <v>2704</v>
      </c>
      <c r="D87" s="1293" t="s">
        <v>2705</v>
      </c>
      <c r="E87" s="1294" t="s">
        <v>2706</v>
      </c>
      <c r="F87" s="1295">
        <v>3</v>
      </c>
      <c r="G87" s="1296">
        <v>65000000</v>
      </c>
      <c r="H87" s="1297">
        <f>G87*F87</f>
        <v>195000000</v>
      </c>
      <c r="I87" s="1298" t="s">
        <v>2707</v>
      </c>
      <c r="J87" s="1253" t="s">
        <v>2708</v>
      </c>
      <c r="K87" s="1299">
        <v>6</v>
      </c>
      <c r="L87" s="1300" t="s">
        <v>2709</v>
      </c>
    </row>
    <row r="88" spans="1:20" s="1189" customFormat="1" ht="348.75">
      <c r="A88" s="1291">
        <v>79</v>
      </c>
      <c r="B88" s="1291">
        <v>3</v>
      </c>
      <c r="C88" s="1301" t="s">
        <v>2710</v>
      </c>
      <c r="D88" s="1293" t="s">
        <v>2705</v>
      </c>
      <c r="E88" s="1294" t="s">
        <v>2706</v>
      </c>
      <c r="F88" s="1295">
        <v>5</v>
      </c>
      <c r="G88" s="1297">
        <v>33000000</v>
      </c>
      <c r="H88" s="1297">
        <f>G88*F88</f>
        <v>165000000</v>
      </c>
      <c r="I88" s="1298" t="s">
        <v>2707</v>
      </c>
      <c r="J88" s="1253" t="s">
        <v>2711</v>
      </c>
      <c r="K88" s="1299">
        <v>6</v>
      </c>
      <c r="L88" s="1300" t="s">
        <v>2709</v>
      </c>
    </row>
    <row r="89" spans="1:20" s="1189" customFormat="1" ht="11.25">
      <c r="A89" s="1200"/>
      <c r="B89" s="1200"/>
      <c r="C89" s="1179" t="s">
        <v>2622</v>
      </c>
      <c r="D89" s="1179"/>
      <c r="E89" s="1179"/>
      <c r="F89" s="1200"/>
      <c r="G89" s="1218"/>
      <c r="H89" s="1218">
        <f>SUM(H87:H88)</f>
        <v>360000000</v>
      </c>
      <c r="I89" s="1219"/>
      <c r="J89" s="1179"/>
      <c r="K89" s="1220"/>
      <c r="L89" s="1201"/>
    </row>
    <row r="90" spans="1:20" s="1189" customFormat="1" ht="11.25">
      <c r="A90" s="1200"/>
      <c r="B90" s="1200"/>
      <c r="C90" s="1179" t="s">
        <v>2712</v>
      </c>
      <c r="D90" s="1179"/>
      <c r="E90" s="1179"/>
      <c r="F90" s="1200"/>
      <c r="G90" s="1218"/>
      <c r="H90" s="1218"/>
      <c r="I90" s="1219"/>
      <c r="J90" s="1179"/>
      <c r="K90" s="1220"/>
      <c r="L90" s="1201"/>
    </row>
    <row r="91" spans="1:20" s="1189" customFormat="1" ht="15.6" customHeight="1">
      <c r="A91" s="1261"/>
      <c r="B91" s="1261"/>
      <c r="C91" s="1262"/>
      <c r="D91" s="1262"/>
      <c r="E91" s="1262"/>
      <c r="F91" s="1261"/>
      <c r="G91" s="1263"/>
      <c r="H91" s="1263"/>
      <c r="I91" s="1264"/>
      <c r="J91" s="1262"/>
      <c r="K91" s="1265"/>
      <c r="L91" s="1266"/>
    </row>
    <row r="92" spans="1:20" s="1189" customFormat="1" ht="15.6" customHeight="1">
      <c r="A92" s="1261"/>
      <c r="B92" s="1261"/>
      <c r="C92" s="1262"/>
      <c r="D92" s="1262"/>
      <c r="E92" s="1262"/>
      <c r="F92" s="1261"/>
      <c r="G92" s="1263"/>
      <c r="H92" s="1263"/>
      <c r="I92" s="1264"/>
      <c r="J92" s="1262"/>
      <c r="K92" s="1265"/>
      <c r="L92" s="1266"/>
    </row>
    <row r="93" spans="1:20" s="1189" customFormat="1" ht="11.25">
      <c r="A93" s="1261"/>
      <c r="B93" s="1261"/>
      <c r="C93" s="1262"/>
      <c r="D93" s="1262"/>
      <c r="E93" s="1262"/>
      <c r="F93" s="1261"/>
      <c r="G93" s="1263"/>
      <c r="H93" s="1263"/>
      <c r="I93" s="1264"/>
      <c r="J93" s="1262"/>
      <c r="K93" s="1265"/>
      <c r="L93" s="1266"/>
    </row>
    <row r="94" spans="1:20" s="1189" customFormat="1" ht="42">
      <c r="A94" s="1179" t="s">
        <v>2605</v>
      </c>
      <c r="B94" s="1179" t="s">
        <v>2606</v>
      </c>
      <c r="C94" s="1179" t="s">
        <v>2607</v>
      </c>
      <c r="D94" s="1179" t="s">
        <v>2608</v>
      </c>
      <c r="E94" s="1179" t="s">
        <v>2609</v>
      </c>
      <c r="F94" s="1179" t="s">
        <v>2610</v>
      </c>
      <c r="G94" s="1180" t="s">
        <v>2611</v>
      </c>
      <c r="H94" s="1180" t="s">
        <v>2612</v>
      </c>
      <c r="I94" s="1181" t="s">
        <v>2613</v>
      </c>
      <c r="J94" s="1182" t="s">
        <v>2614</v>
      </c>
      <c r="K94" s="1179" t="s">
        <v>2615</v>
      </c>
      <c r="L94" s="1179" t="s">
        <v>2616</v>
      </c>
      <c r="M94" s="1189">
        <v>11</v>
      </c>
    </row>
    <row r="95" spans="1:20" s="1189" customFormat="1" ht="45">
      <c r="A95" s="1192">
        <v>63</v>
      </c>
      <c r="B95" s="1192">
        <v>1</v>
      </c>
      <c r="C95" s="1191" t="s">
        <v>2713</v>
      </c>
      <c r="D95" s="1192" t="s">
        <v>1542</v>
      </c>
      <c r="E95" s="1299" t="s">
        <v>47</v>
      </c>
      <c r="F95" s="1302">
        <v>10</v>
      </c>
      <c r="G95" s="1303">
        <v>22000000</v>
      </c>
      <c r="H95" s="1304">
        <f t="shared" ref="H95:H105" si="1">F95*G95</f>
        <v>220000000</v>
      </c>
      <c r="I95" s="1214" t="s">
        <v>2473</v>
      </c>
      <c r="J95" s="1214" t="s">
        <v>2714</v>
      </c>
      <c r="K95" s="1305">
        <v>3</v>
      </c>
      <c r="L95" s="1194" t="s">
        <v>2476</v>
      </c>
    </row>
    <row r="96" spans="1:20" s="1189" customFormat="1" ht="45">
      <c r="A96" s="1192">
        <v>97</v>
      </c>
      <c r="B96" s="1192">
        <v>2</v>
      </c>
      <c r="C96" s="1191" t="s">
        <v>2715</v>
      </c>
      <c r="D96" s="1192" t="s">
        <v>539</v>
      </c>
      <c r="E96" s="1299" t="s">
        <v>47</v>
      </c>
      <c r="F96" s="1302">
        <v>20</v>
      </c>
      <c r="G96" s="1303">
        <v>22000000</v>
      </c>
      <c r="H96" s="1304">
        <f t="shared" si="1"/>
        <v>440000000</v>
      </c>
      <c r="I96" s="1214" t="s">
        <v>2473</v>
      </c>
      <c r="J96" s="1214" t="s">
        <v>2714</v>
      </c>
      <c r="K96" s="1305">
        <v>3</v>
      </c>
      <c r="L96" s="1194" t="s">
        <v>2476</v>
      </c>
    </row>
    <row r="97" spans="1:20" s="1189" customFormat="1" ht="33.75">
      <c r="A97" s="1192">
        <v>98</v>
      </c>
      <c r="B97" s="1192">
        <v>3</v>
      </c>
      <c r="C97" s="1191" t="s">
        <v>2716</v>
      </c>
      <c r="D97" s="1192" t="s">
        <v>2332</v>
      </c>
      <c r="E97" s="1299" t="s">
        <v>47</v>
      </c>
      <c r="F97" s="1302">
        <v>10</v>
      </c>
      <c r="G97" s="1303">
        <v>12000000</v>
      </c>
      <c r="H97" s="1304">
        <f t="shared" si="1"/>
        <v>120000000</v>
      </c>
      <c r="I97" s="1214" t="s">
        <v>2473</v>
      </c>
      <c r="J97" s="1214" t="s">
        <v>2717</v>
      </c>
      <c r="K97" s="1305">
        <v>3</v>
      </c>
      <c r="L97" s="1194" t="s">
        <v>2476</v>
      </c>
    </row>
    <row r="98" spans="1:20" s="1189" customFormat="1" ht="22.5">
      <c r="A98" s="1192">
        <v>107</v>
      </c>
      <c r="B98" s="1192">
        <v>4</v>
      </c>
      <c r="C98" s="1191" t="s">
        <v>2718</v>
      </c>
      <c r="D98" s="1192" t="s">
        <v>539</v>
      </c>
      <c r="E98" s="1299" t="s">
        <v>1218</v>
      </c>
      <c r="F98" s="1302">
        <v>5</v>
      </c>
      <c r="G98" s="1303">
        <v>22000000</v>
      </c>
      <c r="H98" s="1304">
        <f t="shared" si="1"/>
        <v>110000000</v>
      </c>
      <c r="I98" s="1214" t="s">
        <v>2473</v>
      </c>
      <c r="J98" s="1214" t="s">
        <v>2719</v>
      </c>
      <c r="K98" s="1305">
        <v>3</v>
      </c>
      <c r="L98" s="1194" t="s">
        <v>2476</v>
      </c>
    </row>
    <row r="99" spans="1:20" s="1189" customFormat="1" ht="22.5">
      <c r="A99" s="1192">
        <v>112</v>
      </c>
      <c r="B99" s="1192">
        <v>6</v>
      </c>
      <c r="C99" s="1191" t="s">
        <v>2720</v>
      </c>
      <c r="D99" s="1192" t="s">
        <v>1339</v>
      </c>
      <c r="E99" s="1299" t="s">
        <v>47</v>
      </c>
      <c r="F99" s="1302">
        <v>5</v>
      </c>
      <c r="G99" s="1303">
        <v>35000000</v>
      </c>
      <c r="H99" s="1304">
        <f t="shared" si="1"/>
        <v>175000000</v>
      </c>
      <c r="I99" s="1214" t="s">
        <v>2473</v>
      </c>
      <c r="J99" s="1214" t="s">
        <v>2721</v>
      </c>
      <c r="K99" s="1305">
        <v>3</v>
      </c>
      <c r="L99" s="1194" t="s">
        <v>2476</v>
      </c>
    </row>
    <row r="100" spans="1:20" s="1216" customFormat="1" ht="22.5">
      <c r="A100" s="1192">
        <v>113</v>
      </c>
      <c r="B100" s="1192">
        <v>7</v>
      </c>
      <c r="C100" s="1191" t="s">
        <v>2722</v>
      </c>
      <c r="D100" s="1192" t="s">
        <v>1339</v>
      </c>
      <c r="E100" s="1299" t="s">
        <v>47</v>
      </c>
      <c r="F100" s="1302">
        <v>5</v>
      </c>
      <c r="G100" s="1303">
        <v>26000000</v>
      </c>
      <c r="H100" s="1304">
        <f t="shared" si="1"/>
        <v>130000000</v>
      </c>
      <c r="I100" s="1214" t="s">
        <v>2473</v>
      </c>
      <c r="J100" s="1214" t="s">
        <v>2723</v>
      </c>
      <c r="K100" s="1305">
        <v>3</v>
      </c>
      <c r="L100" s="1194" t="s">
        <v>2476</v>
      </c>
      <c r="M100" s="1189"/>
      <c r="N100" s="1189"/>
      <c r="O100" s="1189"/>
      <c r="P100" s="1189"/>
      <c r="Q100" s="1189"/>
      <c r="R100" s="1189"/>
      <c r="S100" s="1189"/>
      <c r="T100" s="1189"/>
    </row>
    <row r="101" spans="1:20" s="1277" customFormat="1" ht="33.75">
      <c r="A101" s="1192">
        <v>114</v>
      </c>
      <c r="B101" s="1192">
        <v>8</v>
      </c>
      <c r="C101" s="1191" t="s">
        <v>2724</v>
      </c>
      <c r="D101" s="1192" t="s">
        <v>1339</v>
      </c>
      <c r="E101" s="1299" t="s">
        <v>47</v>
      </c>
      <c r="F101" s="1302">
        <v>3</v>
      </c>
      <c r="G101" s="1303">
        <v>220000000</v>
      </c>
      <c r="H101" s="1304">
        <f t="shared" si="1"/>
        <v>660000000</v>
      </c>
      <c r="I101" s="1214" t="s">
        <v>2473</v>
      </c>
      <c r="J101" s="1214" t="s">
        <v>2725</v>
      </c>
      <c r="K101" s="1305">
        <v>3</v>
      </c>
      <c r="L101" s="1194" t="s">
        <v>2476</v>
      </c>
      <c r="M101" s="1189"/>
      <c r="N101" s="1189"/>
      <c r="O101" s="1189"/>
      <c r="P101" s="1189"/>
      <c r="Q101" s="1189"/>
      <c r="R101" s="1189"/>
      <c r="S101" s="1189"/>
      <c r="T101" s="1189"/>
    </row>
    <row r="102" spans="1:20" s="1189" customFormat="1" ht="22.5">
      <c r="A102" s="1192">
        <v>115</v>
      </c>
      <c r="B102" s="1192">
        <v>9</v>
      </c>
      <c r="C102" s="1191" t="s">
        <v>2726</v>
      </c>
      <c r="D102" s="1192" t="s">
        <v>539</v>
      </c>
      <c r="E102" s="1299" t="s">
        <v>47</v>
      </c>
      <c r="F102" s="1302">
        <v>200</v>
      </c>
      <c r="G102" s="1303">
        <v>13500000</v>
      </c>
      <c r="H102" s="1304">
        <f t="shared" si="1"/>
        <v>2700000000</v>
      </c>
      <c r="I102" s="1214" t="s">
        <v>2473</v>
      </c>
      <c r="J102" s="1214" t="s">
        <v>2727</v>
      </c>
      <c r="K102" s="1305">
        <v>3</v>
      </c>
      <c r="L102" s="1194" t="s">
        <v>2476</v>
      </c>
    </row>
    <row r="103" spans="1:20" s="1189" customFormat="1" ht="22.5">
      <c r="A103" s="1192">
        <v>116</v>
      </c>
      <c r="B103" s="1192">
        <v>10</v>
      </c>
      <c r="C103" s="1191" t="s">
        <v>2728</v>
      </c>
      <c r="D103" s="1192" t="s">
        <v>539</v>
      </c>
      <c r="E103" s="1299" t="s">
        <v>47</v>
      </c>
      <c r="F103" s="1302">
        <v>5</v>
      </c>
      <c r="G103" s="1303">
        <v>17000000</v>
      </c>
      <c r="H103" s="1304">
        <f t="shared" si="1"/>
        <v>85000000</v>
      </c>
      <c r="I103" s="1214" t="s">
        <v>2473</v>
      </c>
      <c r="J103" s="1214" t="s">
        <v>2729</v>
      </c>
      <c r="K103" s="1305">
        <v>3</v>
      </c>
      <c r="L103" s="1194" t="s">
        <v>2476</v>
      </c>
    </row>
    <row r="104" spans="1:20" s="1189" customFormat="1" ht="33.75">
      <c r="A104" s="1192">
        <v>117</v>
      </c>
      <c r="B104" s="1192">
        <v>11</v>
      </c>
      <c r="C104" s="1191" t="s">
        <v>2730</v>
      </c>
      <c r="D104" s="1192" t="s">
        <v>1339</v>
      </c>
      <c r="E104" s="1299" t="s">
        <v>47</v>
      </c>
      <c r="F104" s="1302">
        <v>1</v>
      </c>
      <c r="G104" s="1303">
        <v>45000000</v>
      </c>
      <c r="H104" s="1304">
        <f t="shared" si="1"/>
        <v>45000000</v>
      </c>
      <c r="I104" s="1214" t="s">
        <v>2473</v>
      </c>
      <c r="J104" s="1214" t="s">
        <v>2730</v>
      </c>
      <c r="K104" s="1305">
        <v>3</v>
      </c>
      <c r="L104" s="1194" t="s">
        <v>2476</v>
      </c>
    </row>
    <row r="105" spans="1:20" s="1189" customFormat="1" ht="22.5">
      <c r="A105" s="1192">
        <v>123</v>
      </c>
      <c r="B105" s="1192">
        <v>12</v>
      </c>
      <c r="C105" s="1191" t="s">
        <v>2731</v>
      </c>
      <c r="D105" s="1192" t="s">
        <v>725</v>
      </c>
      <c r="E105" s="1299" t="s">
        <v>47</v>
      </c>
      <c r="F105" s="1302">
        <v>30</v>
      </c>
      <c r="G105" s="1303">
        <v>45000000</v>
      </c>
      <c r="H105" s="1304">
        <f t="shared" si="1"/>
        <v>1350000000</v>
      </c>
      <c r="I105" s="1214" t="s">
        <v>2473</v>
      </c>
      <c r="J105" s="1214" t="s">
        <v>2732</v>
      </c>
      <c r="K105" s="1305">
        <v>3</v>
      </c>
      <c r="L105" s="1194" t="s">
        <v>2476</v>
      </c>
    </row>
    <row r="106" spans="1:20" s="1189" customFormat="1" ht="11.25">
      <c r="A106" s="1200"/>
      <c r="B106" s="1200"/>
      <c r="C106" s="1179" t="s">
        <v>2622</v>
      </c>
      <c r="D106" s="1179"/>
      <c r="E106" s="1179"/>
      <c r="F106" s="1200"/>
      <c r="G106" s="1218"/>
      <c r="H106" s="1218">
        <f>SUM(H95:H105)</f>
        <v>6035000000</v>
      </c>
      <c r="I106" s="1219"/>
      <c r="J106" s="1179"/>
      <c r="K106" s="1220"/>
      <c r="L106" s="1201"/>
    </row>
    <row r="107" spans="1:20" s="1189" customFormat="1" ht="15.6" customHeight="1">
      <c r="A107" s="1261"/>
      <c r="B107" s="1261"/>
      <c r="C107" s="1262"/>
      <c r="D107" s="1262"/>
      <c r="E107" s="1262"/>
      <c r="F107" s="1261"/>
      <c r="G107" s="1263"/>
      <c r="H107" s="1263"/>
      <c r="I107" s="1264"/>
      <c r="J107" s="1262"/>
      <c r="K107" s="1265"/>
      <c r="L107" s="1266"/>
    </row>
    <row r="108" spans="1:20" s="1189" customFormat="1" ht="15.6" customHeight="1">
      <c r="A108" s="1261"/>
      <c r="B108" s="1261"/>
      <c r="C108" s="1262"/>
      <c r="D108" s="1262"/>
      <c r="E108" s="1262"/>
      <c r="F108" s="1261"/>
      <c r="G108" s="1263"/>
      <c r="H108" s="1263"/>
      <c r="I108" s="1264"/>
      <c r="J108" s="1262"/>
      <c r="K108" s="1265"/>
      <c r="L108" s="1266"/>
    </row>
    <row r="109" spans="1:20" s="1211" customFormat="1" ht="15.6" customHeight="1">
      <c r="A109" s="1225"/>
      <c r="B109" s="1225"/>
      <c r="C109" s="1226"/>
      <c r="D109" s="1226"/>
      <c r="E109" s="1226"/>
      <c r="F109" s="1225"/>
      <c r="G109" s="1246"/>
      <c r="H109" s="1246"/>
      <c r="I109" s="1247"/>
      <c r="J109" s="1226"/>
      <c r="K109" s="1227"/>
      <c r="L109" s="1228"/>
    </row>
    <row r="110" spans="1:20" s="1211" customFormat="1" ht="11.25">
      <c r="A110" s="1209"/>
      <c r="B110" s="1209"/>
      <c r="C110" s="1212"/>
      <c r="D110" s="1209"/>
      <c r="E110" s="1306"/>
      <c r="F110" s="1307"/>
      <c r="G110" s="1308"/>
      <c r="H110" s="1309"/>
      <c r="I110" s="1229"/>
      <c r="J110" s="1229"/>
      <c r="K110" s="1310"/>
      <c r="L110" s="1210"/>
    </row>
    <row r="111" spans="1:20" s="1189" customFormat="1" ht="42">
      <c r="A111" s="1179" t="s">
        <v>2605</v>
      </c>
      <c r="B111" s="1179" t="s">
        <v>2606</v>
      </c>
      <c r="C111" s="1179" t="s">
        <v>2607</v>
      </c>
      <c r="D111" s="1179" t="s">
        <v>2608</v>
      </c>
      <c r="E111" s="1179" t="s">
        <v>2609</v>
      </c>
      <c r="F111" s="1179" t="s">
        <v>2610</v>
      </c>
      <c r="G111" s="1180" t="s">
        <v>2611</v>
      </c>
      <c r="H111" s="1180" t="s">
        <v>2612</v>
      </c>
      <c r="I111" s="1181" t="s">
        <v>2613</v>
      </c>
      <c r="J111" s="1182" t="s">
        <v>2614</v>
      </c>
      <c r="K111" s="1179" t="s">
        <v>2615</v>
      </c>
      <c r="L111" s="1179" t="s">
        <v>2616</v>
      </c>
      <c r="M111" s="1241">
        <v>12</v>
      </c>
      <c r="N111" s="1241"/>
      <c r="O111" s="1241"/>
      <c r="P111" s="1241"/>
      <c r="Q111" s="1216"/>
      <c r="R111" s="1216"/>
      <c r="S111" s="1216"/>
      <c r="T111" s="1216"/>
    </row>
    <row r="112" spans="1:20" s="1189" customFormat="1" ht="22.5">
      <c r="A112" s="1190">
        <v>40</v>
      </c>
      <c r="B112" s="1190">
        <v>1</v>
      </c>
      <c r="C112" s="1191" t="s">
        <v>2733</v>
      </c>
      <c r="D112" s="1192" t="s">
        <v>1542</v>
      </c>
      <c r="E112" s="1192" t="s">
        <v>47</v>
      </c>
      <c r="F112" s="1192">
        <v>60</v>
      </c>
      <c r="G112" s="1311">
        <v>37000000</v>
      </c>
      <c r="H112" s="1311">
        <f>G112*F112</f>
        <v>2220000000</v>
      </c>
      <c r="I112" s="1190" t="s">
        <v>2734</v>
      </c>
      <c r="J112" s="1312" t="s">
        <v>2735</v>
      </c>
      <c r="K112" s="1313">
        <v>6</v>
      </c>
      <c r="L112" s="1191" t="s">
        <v>2736</v>
      </c>
      <c r="M112" s="1241"/>
      <c r="N112" s="1241"/>
      <c r="O112" s="1241"/>
      <c r="P112" s="1241"/>
      <c r="Q112" s="1216"/>
      <c r="R112" s="1216"/>
      <c r="S112" s="1216"/>
      <c r="T112" s="1216"/>
    </row>
    <row r="113" spans="1:20" s="1189" customFormat="1" ht="11.25">
      <c r="A113" s="1200"/>
      <c r="B113" s="1200"/>
      <c r="C113" s="1179" t="s">
        <v>2622</v>
      </c>
      <c r="D113" s="1179"/>
      <c r="E113" s="1179"/>
      <c r="F113" s="1200"/>
      <c r="G113" s="1218"/>
      <c r="H113" s="1218">
        <f>SUM(H110:H112)</f>
        <v>2220000000</v>
      </c>
      <c r="I113" s="1219"/>
      <c r="J113" s="1179"/>
      <c r="K113" s="1220"/>
      <c r="L113" s="1201"/>
      <c r="M113" s="1241"/>
      <c r="N113" s="1241"/>
      <c r="O113" s="1241"/>
      <c r="P113" s="1241"/>
      <c r="Q113" s="1216"/>
      <c r="R113" s="1216"/>
      <c r="S113" s="1216"/>
      <c r="T113" s="1216"/>
    </row>
    <row r="114" spans="1:20" s="1189" customFormat="1" ht="21">
      <c r="A114" s="1200"/>
      <c r="B114" s="1200"/>
      <c r="C114" s="1179" t="s">
        <v>2737</v>
      </c>
      <c r="D114" s="1179"/>
      <c r="E114" s="1179"/>
      <c r="F114" s="1200"/>
      <c r="G114" s="1218"/>
      <c r="H114" s="1218"/>
      <c r="I114" s="1219"/>
      <c r="J114" s="1179"/>
      <c r="K114" s="1220"/>
      <c r="L114" s="1201"/>
      <c r="M114" s="1241"/>
      <c r="N114" s="1241"/>
      <c r="O114" s="1241"/>
      <c r="P114" s="1241"/>
      <c r="Q114" s="1216"/>
      <c r="R114" s="1216"/>
      <c r="S114" s="1216"/>
      <c r="T114" s="1216"/>
    </row>
    <row r="115" spans="1:20" s="1211" customFormat="1" ht="24.6" customHeight="1">
      <c r="A115" s="1225"/>
      <c r="B115" s="1225"/>
      <c r="C115" s="1226"/>
      <c r="D115" s="1226"/>
      <c r="E115" s="1226"/>
      <c r="F115" s="1225"/>
      <c r="G115" s="1246"/>
      <c r="H115" s="1246"/>
      <c r="I115" s="1247"/>
      <c r="J115" s="1226"/>
      <c r="K115" s="1227"/>
      <c r="L115" s="1228"/>
      <c r="M115" s="1248"/>
      <c r="N115" s="1248"/>
      <c r="O115" s="1248"/>
      <c r="P115" s="1248"/>
      <c r="Q115" s="1232"/>
      <c r="R115" s="1232"/>
      <c r="S115" s="1232"/>
      <c r="T115" s="1232"/>
    </row>
    <row r="116" spans="1:20" s="1211" customFormat="1" ht="24.6" customHeight="1">
      <c r="A116" s="1225"/>
      <c r="B116" s="1225"/>
      <c r="C116" s="1226"/>
      <c r="D116" s="1226"/>
      <c r="E116" s="1226"/>
      <c r="F116" s="1225"/>
      <c r="G116" s="1246"/>
      <c r="H116" s="1246"/>
      <c r="I116" s="1247"/>
      <c r="J116" s="1226"/>
      <c r="K116" s="1227"/>
      <c r="L116" s="1228"/>
      <c r="M116" s="1248"/>
      <c r="N116" s="1248"/>
      <c r="O116" s="1248"/>
      <c r="P116" s="1248"/>
      <c r="Q116" s="1232"/>
      <c r="R116" s="1232"/>
      <c r="S116" s="1232"/>
      <c r="T116" s="1232"/>
    </row>
    <row r="117" spans="1:20" s="1189" customFormat="1" ht="42">
      <c r="A117" s="1179" t="s">
        <v>2605</v>
      </c>
      <c r="B117" s="1179" t="s">
        <v>2606</v>
      </c>
      <c r="C117" s="1179" t="s">
        <v>2607</v>
      </c>
      <c r="D117" s="1179" t="s">
        <v>2608</v>
      </c>
      <c r="E117" s="1179" t="s">
        <v>2609</v>
      </c>
      <c r="F117" s="1179" t="s">
        <v>2610</v>
      </c>
      <c r="G117" s="1180" t="s">
        <v>2611</v>
      </c>
      <c r="H117" s="1180" t="s">
        <v>2612</v>
      </c>
      <c r="I117" s="1181" t="s">
        <v>2613</v>
      </c>
      <c r="J117" s="1182" t="s">
        <v>2614</v>
      </c>
      <c r="K117" s="1179" t="s">
        <v>2615</v>
      </c>
      <c r="L117" s="1179" t="s">
        <v>2616</v>
      </c>
      <c r="M117" s="1189">
        <v>13</v>
      </c>
    </row>
    <row r="118" spans="1:20" s="1189" customFormat="1" ht="22.5">
      <c r="A118" s="1190">
        <v>45</v>
      </c>
      <c r="B118" s="1190">
        <v>1</v>
      </c>
      <c r="C118" s="1191" t="s">
        <v>2738</v>
      </c>
      <c r="D118" s="1192" t="s">
        <v>1542</v>
      </c>
      <c r="E118" s="1192" t="s">
        <v>47</v>
      </c>
      <c r="F118" s="1192">
        <v>5</v>
      </c>
      <c r="G118" s="1314">
        <v>14500000</v>
      </c>
      <c r="H118" s="1315">
        <f t="shared" ref="H118:H126" si="2">G118*F118</f>
        <v>72500000</v>
      </c>
      <c r="I118" s="1192" t="s">
        <v>2183</v>
      </c>
      <c r="J118" s="1192" t="s">
        <v>2739</v>
      </c>
      <c r="K118" s="1192">
        <v>2</v>
      </c>
      <c r="L118" s="1191" t="s">
        <v>1545</v>
      </c>
    </row>
    <row r="119" spans="1:20" s="1189" customFormat="1" ht="22.5">
      <c r="A119" s="1192">
        <v>49</v>
      </c>
      <c r="B119" s="1190">
        <v>2</v>
      </c>
      <c r="C119" s="1191" t="s">
        <v>2740</v>
      </c>
      <c r="D119" s="1192" t="s">
        <v>1542</v>
      </c>
      <c r="E119" s="1192" t="s">
        <v>47</v>
      </c>
      <c r="F119" s="1192">
        <v>1</v>
      </c>
      <c r="G119" s="1314">
        <v>14500000</v>
      </c>
      <c r="H119" s="1315">
        <f t="shared" si="2"/>
        <v>14500000</v>
      </c>
      <c r="I119" s="1192" t="s">
        <v>2183</v>
      </c>
      <c r="J119" s="1192" t="s">
        <v>2739</v>
      </c>
      <c r="K119" s="1192">
        <v>2</v>
      </c>
      <c r="L119" s="1191" t="s">
        <v>1545</v>
      </c>
      <c r="M119" s="1316"/>
      <c r="N119" s="1316"/>
      <c r="O119" s="1316"/>
      <c r="P119" s="1316"/>
    </row>
    <row r="120" spans="1:20" s="1189" customFormat="1" ht="45">
      <c r="A120" s="1192">
        <v>50</v>
      </c>
      <c r="B120" s="1190">
        <v>3</v>
      </c>
      <c r="C120" s="1191" t="s">
        <v>2741</v>
      </c>
      <c r="D120" s="1192" t="s">
        <v>1542</v>
      </c>
      <c r="E120" s="1192" t="s">
        <v>192</v>
      </c>
      <c r="F120" s="1192">
        <v>5</v>
      </c>
      <c r="G120" s="1314">
        <v>15330000</v>
      </c>
      <c r="H120" s="1315">
        <f t="shared" si="2"/>
        <v>76650000</v>
      </c>
      <c r="I120" s="1192" t="s">
        <v>2176</v>
      </c>
      <c r="J120" s="1192" t="s">
        <v>2742</v>
      </c>
      <c r="K120" s="1192">
        <v>2</v>
      </c>
      <c r="L120" s="1191" t="s">
        <v>1545</v>
      </c>
    </row>
    <row r="121" spans="1:20" s="1189" customFormat="1" ht="22.5">
      <c r="A121" s="1317">
        <v>54</v>
      </c>
      <c r="B121" s="1190">
        <v>4</v>
      </c>
      <c r="C121" s="1317" t="s">
        <v>2743</v>
      </c>
      <c r="D121" s="1318" t="s">
        <v>1542</v>
      </c>
      <c r="E121" s="1318" t="s">
        <v>47</v>
      </c>
      <c r="F121" s="1318">
        <v>10</v>
      </c>
      <c r="G121" s="1314">
        <v>25000000</v>
      </c>
      <c r="H121" s="1315">
        <f t="shared" si="2"/>
        <v>250000000</v>
      </c>
      <c r="I121" s="1192" t="s">
        <v>2744</v>
      </c>
      <c r="J121" s="1192" t="s">
        <v>2745</v>
      </c>
      <c r="K121" s="1192">
        <v>2</v>
      </c>
      <c r="L121" s="1191" t="s">
        <v>1545</v>
      </c>
      <c r="M121" s="1241"/>
      <c r="N121" s="1241"/>
      <c r="O121" s="1241"/>
      <c r="P121" s="1241"/>
      <c r="Q121" s="1241"/>
      <c r="R121" s="1241"/>
      <c r="S121" s="1241"/>
      <c r="T121" s="1241"/>
    </row>
    <row r="122" spans="1:20" s="1241" customFormat="1" ht="22.5">
      <c r="A122" s="1317">
        <v>55</v>
      </c>
      <c r="B122" s="1317">
        <v>5</v>
      </c>
      <c r="C122" s="1317" t="s">
        <v>2746</v>
      </c>
      <c r="D122" s="1318" t="s">
        <v>539</v>
      </c>
      <c r="E122" s="1318" t="s">
        <v>47</v>
      </c>
      <c r="F122" s="1318">
        <v>20</v>
      </c>
      <c r="G122" s="1314">
        <v>37000000</v>
      </c>
      <c r="H122" s="1315">
        <f t="shared" si="2"/>
        <v>740000000</v>
      </c>
      <c r="I122" s="1192" t="s">
        <v>1555</v>
      </c>
      <c r="J122" s="1319" t="s">
        <v>2747</v>
      </c>
      <c r="K122" s="1192">
        <v>2</v>
      </c>
      <c r="L122" s="1191" t="s">
        <v>1545</v>
      </c>
      <c r="M122" s="1189"/>
      <c r="N122" s="1189"/>
      <c r="O122" s="1189"/>
      <c r="P122" s="1189"/>
      <c r="Q122" s="1189"/>
      <c r="R122" s="1189"/>
      <c r="S122" s="1189"/>
      <c r="T122" s="1189"/>
    </row>
    <row r="123" spans="1:20" s="1189" customFormat="1" ht="22.5">
      <c r="A123" s="1317">
        <v>56</v>
      </c>
      <c r="B123" s="1190">
        <v>6</v>
      </c>
      <c r="C123" s="1317" t="s">
        <v>2748</v>
      </c>
      <c r="D123" s="1318" t="s">
        <v>1542</v>
      </c>
      <c r="E123" s="1318" t="s">
        <v>47</v>
      </c>
      <c r="F123" s="1318">
        <v>10</v>
      </c>
      <c r="G123" s="1314">
        <v>45800000</v>
      </c>
      <c r="H123" s="1315">
        <f t="shared" si="2"/>
        <v>458000000</v>
      </c>
      <c r="I123" s="1192" t="s">
        <v>1560</v>
      </c>
      <c r="J123" s="1192" t="s">
        <v>2749</v>
      </c>
      <c r="K123" s="1192">
        <v>2</v>
      </c>
      <c r="L123" s="1191" t="s">
        <v>1545</v>
      </c>
    </row>
    <row r="124" spans="1:20" s="1189" customFormat="1" ht="22.5">
      <c r="A124" s="1317">
        <v>57</v>
      </c>
      <c r="B124" s="1190">
        <v>7</v>
      </c>
      <c r="C124" s="1317" t="s">
        <v>2750</v>
      </c>
      <c r="D124" s="1318" t="s">
        <v>1542</v>
      </c>
      <c r="E124" s="1318" t="s">
        <v>47</v>
      </c>
      <c r="F124" s="1318">
        <v>20</v>
      </c>
      <c r="G124" s="1314">
        <v>24000000</v>
      </c>
      <c r="H124" s="1315">
        <f t="shared" si="2"/>
        <v>480000000</v>
      </c>
      <c r="I124" s="1192" t="s">
        <v>1560</v>
      </c>
      <c r="J124" s="1192" t="s">
        <v>2751</v>
      </c>
      <c r="K124" s="1192">
        <v>2</v>
      </c>
      <c r="L124" s="1191" t="s">
        <v>1545</v>
      </c>
    </row>
    <row r="125" spans="1:20" s="1189" customFormat="1" ht="22.5">
      <c r="A125" s="1317">
        <v>58</v>
      </c>
      <c r="B125" s="1190">
        <v>8</v>
      </c>
      <c r="C125" s="1317" t="s">
        <v>2752</v>
      </c>
      <c r="D125" s="1318" t="s">
        <v>1542</v>
      </c>
      <c r="E125" s="1318" t="s">
        <v>47</v>
      </c>
      <c r="F125" s="1318">
        <v>20</v>
      </c>
      <c r="G125" s="1314">
        <v>24000000</v>
      </c>
      <c r="H125" s="1315">
        <f t="shared" si="2"/>
        <v>480000000</v>
      </c>
      <c r="I125" s="1192" t="s">
        <v>1560</v>
      </c>
      <c r="J125" s="1192" t="s">
        <v>2753</v>
      </c>
      <c r="K125" s="1192">
        <v>2</v>
      </c>
      <c r="L125" s="1191" t="s">
        <v>1545</v>
      </c>
    </row>
    <row r="126" spans="1:20" s="1189" customFormat="1" ht="22.5">
      <c r="A126" s="1317">
        <v>59</v>
      </c>
      <c r="B126" s="1190">
        <v>9</v>
      </c>
      <c r="C126" s="1317" t="s">
        <v>2754</v>
      </c>
      <c r="D126" s="1318" t="s">
        <v>1542</v>
      </c>
      <c r="E126" s="1318" t="s">
        <v>47</v>
      </c>
      <c r="F126" s="1318">
        <v>20</v>
      </c>
      <c r="G126" s="1314">
        <v>73000000</v>
      </c>
      <c r="H126" s="1315">
        <f t="shared" si="2"/>
        <v>1460000000</v>
      </c>
      <c r="I126" s="1192" t="s">
        <v>1550</v>
      </c>
      <c r="J126" s="1192" t="s">
        <v>2755</v>
      </c>
      <c r="K126" s="1192">
        <v>2</v>
      </c>
      <c r="L126" s="1191" t="s">
        <v>1545</v>
      </c>
      <c r="M126" s="1241"/>
      <c r="N126" s="1241"/>
      <c r="O126" s="1241"/>
      <c r="P126" s="1241"/>
      <c r="Q126" s="1216"/>
      <c r="R126" s="1216"/>
      <c r="S126" s="1216"/>
      <c r="T126" s="1216"/>
    </row>
    <row r="127" spans="1:20" s="1189" customFormat="1" ht="11.25">
      <c r="A127" s="1200"/>
      <c r="B127" s="1200"/>
      <c r="C127" s="1179" t="s">
        <v>2622</v>
      </c>
      <c r="D127" s="1179"/>
      <c r="E127" s="1179"/>
      <c r="F127" s="1200"/>
      <c r="G127" s="1218"/>
      <c r="H127" s="1218">
        <f>SUM(H118:H126)</f>
        <v>4031650000</v>
      </c>
      <c r="I127" s="1219"/>
      <c r="J127" s="1179"/>
      <c r="K127" s="1220"/>
      <c r="L127" s="1201"/>
    </row>
    <row r="128" spans="1:20" s="1189" customFormat="1" ht="11.25">
      <c r="A128" s="1200"/>
      <c r="B128" s="1200"/>
      <c r="C128" s="2185" t="s">
        <v>2756</v>
      </c>
      <c r="D128" s="2186"/>
      <c r="E128" s="2186"/>
      <c r="F128" s="2186"/>
      <c r="G128" s="2187"/>
      <c r="H128" s="1218"/>
      <c r="I128" s="1219"/>
      <c r="J128" s="1179"/>
      <c r="K128" s="1220"/>
      <c r="L128" s="1201"/>
    </row>
    <row r="129" spans="1:20" s="1211" customFormat="1" ht="11.25">
      <c r="A129" s="1225"/>
      <c r="B129" s="1225"/>
      <c r="C129" s="1226"/>
      <c r="D129" s="1226"/>
      <c r="E129" s="1226"/>
      <c r="F129" s="1225"/>
      <c r="G129" s="1246"/>
      <c r="H129" s="1246"/>
      <c r="I129" s="1247"/>
      <c r="J129" s="1226"/>
      <c r="K129" s="1227"/>
      <c r="L129" s="1228"/>
    </row>
    <row r="130" spans="1:20" s="1211" customFormat="1" ht="15.6" customHeight="1">
      <c r="A130" s="1225"/>
      <c r="B130" s="1225"/>
      <c r="C130" s="1226"/>
      <c r="D130" s="1226"/>
      <c r="E130" s="1226"/>
      <c r="F130" s="1225"/>
      <c r="G130" s="1246"/>
      <c r="H130" s="1246"/>
      <c r="I130" s="1247"/>
      <c r="J130" s="1226"/>
      <c r="K130" s="1227"/>
      <c r="L130" s="1228"/>
    </row>
    <row r="131" spans="1:20" s="1211" customFormat="1" ht="15.6" customHeight="1">
      <c r="A131" s="1320"/>
      <c r="B131" s="1207"/>
      <c r="C131" s="1320"/>
      <c r="D131" s="1321"/>
      <c r="E131" s="1321"/>
      <c r="F131" s="1321"/>
      <c r="G131" s="1322"/>
      <c r="H131" s="1323"/>
      <c r="I131" s="1209"/>
      <c r="J131" s="1209"/>
      <c r="K131" s="1209"/>
      <c r="L131" s="1212"/>
    </row>
    <row r="132" spans="1:20" s="1211" customFormat="1" ht="11.25">
      <c r="A132" s="1320"/>
      <c r="B132" s="1207"/>
      <c r="C132" s="1320"/>
      <c r="D132" s="1321"/>
      <c r="E132" s="1321"/>
      <c r="F132" s="1321"/>
      <c r="G132" s="1322"/>
      <c r="H132" s="1323"/>
      <c r="I132" s="1209"/>
      <c r="J132" s="1209"/>
      <c r="K132" s="1209"/>
      <c r="L132" s="1212"/>
    </row>
    <row r="133" spans="1:20" s="1189" customFormat="1" ht="42">
      <c r="A133" s="1179" t="s">
        <v>2605</v>
      </c>
      <c r="B133" s="1179" t="s">
        <v>2606</v>
      </c>
      <c r="C133" s="1179" t="s">
        <v>2607</v>
      </c>
      <c r="D133" s="1179" t="s">
        <v>2608</v>
      </c>
      <c r="E133" s="1179" t="s">
        <v>2609</v>
      </c>
      <c r="F133" s="1179" t="s">
        <v>2610</v>
      </c>
      <c r="G133" s="1180" t="s">
        <v>2611</v>
      </c>
      <c r="H133" s="1180" t="s">
        <v>2612</v>
      </c>
      <c r="I133" s="1181" t="s">
        <v>2613</v>
      </c>
      <c r="J133" s="1182" t="s">
        <v>2614</v>
      </c>
      <c r="K133" s="1179" t="s">
        <v>2615</v>
      </c>
      <c r="L133" s="1179" t="s">
        <v>2616</v>
      </c>
      <c r="M133" s="1189">
        <v>14</v>
      </c>
      <c r="Q133" s="1216"/>
      <c r="R133" s="1216"/>
      <c r="S133" s="1216"/>
      <c r="T133" s="1216"/>
    </row>
    <row r="134" spans="1:20" s="1189" customFormat="1" ht="67.5">
      <c r="A134" s="1324">
        <v>71</v>
      </c>
      <c r="B134" s="1192">
        <v>1</v>
      </c>
      <c r="C134" s="1191" t="s">
        <v>2757</v>
      </c>
      <c r="D134" s="1190" t="s">
        <v>1542</v>
      </c>
      <c r="E134" s="1190" t="s">
        <v>47</v>
      </c>
      <c r="F134" s="1190">
        <v>80</v>
      </c>
      <c r="G134" s="1325">
        <v>39800000</v>
      </c>
      <c r="H134" s="1325">
        <f>G134*F134</f>
        <v>3184000000</v>
      </c>
      <c r="I134" s="1326" t="s">
        <v>2758</v>
      </c>
      <c r="J134" s="1327" t="s">
        <v>2759</v>
      </c>
      <c r="K134" s="1326" t="s">
        <v>1915</v>
      </c>
      <c r="L134" s="1328" t="s">
        <v>1916</v>
      </c>
      <c r="M134" s="1241"/>
      <c r="N134" s="1241"/>
      <c r="O134" s="1241"/>
      <c r="P134" s="1241"/>
      <c r="Q134" s="1216"/>
      <c r="R134" s="1216"/>
      <c r="S134" s="1216"/>
      <c r="T134" s="1216"/>
    </row>
    <row r="135" spans="1:20" s="1189" customFormat="1" ht="11.25">
      <c r="A135" s="1200"/>
      <c r="B135" s="1200"/>
      <c r="C135" s="1179" t="s">
        <v>2622</v>
      </c>
      <c r="D135" s="1179"/>
      <c r="E135" s="1179"/>
      <c r="F135" s="1200"/>
      <c r="G135" s="1218"/>
      <c r="H135" s="1218">
        <f>SUM(H132:H134)</f>
        <v>3184000000</v>
      </c>
      <c r="I135" s="1219"/>
      <c r="J135" s="1179"/>
      <c r="K135" s="1220"/>
      <c r="L135" s="1201"/>
      <c r="Q135" s="1216"/>
      <c r="R135" s="1216"/>
      <c r="S135" s="1216"/>
      <c r="T135" s="1216"/>
    </row>
    <row r="136" spans="1:20" s="1189" customFormat="1" ht="11.25">
      <c r="A136" s="1200"/>
      <c r="B136" s="1200"/>
      <c r="C136" s="1179" t="e">
        <f ca="1">[1]!vnd(H135,TRUE)</f>
        <v>#NAME?</v>
      </c>
      <c r="D136" s="1179"/>
      <c r="E136" s="1179"/>
      <c r="F136" s="1200"/>
      <c r="G136" s="1218"/>
      <c r="H136" s="1218"/>
      <c r="I136" s="1219"/>
      <c r="J136" s="1179"/>
      <c r="K136" s="1220"/>
      <c r="L136" s="1201"/>
      <c r="Q136" s="1216"/>
      <c r="R136" s="1216"/>
      <c r="S136" s="1216"/>
      <c r="T136" s="1216"/>
    </row>
    <row r="137" spans="1:20" s="1211" customFormat="1" ht="11.25">
      <c r="A137" s="1225"/>
      <c r="B137" s="1225"/>
      <c r="C137" s="1226"/>
      <c r="D137" s="1226"/>
      <c r="E137" s="1226"/>
      <c r="F137" s="1225"/>
      <c r="G137" s="1246"/>
      <c r="H137" s="1246"/>
      <c r="I137" s="1247"/>
      <c r="J137" s="1226"/>
      <c r="K137" s="1227"/>
      <c r="L137" s="1228"/>
      <c r="Q137" s="1232"/>
      <c r="R137" s="1232"/>
      <c r="S137" s="1232"/>
      <c r="T137" s="1232"/>
    </row>
    <row r="138" spans="1:20" s="1211" customFormat="1" ht="11.25">
      <c r="A138" s="1225"/>
      <c r="B138" s="1225"/>
      <c r="C138" s="1226"/>
      <c r="D138" s="1226"/>
      <c r="E138" s="1226"/>
      <c r="F138" s="1225"/>
      <c r="G138" s="1246"/>
      <c r="H138" s="1246"/>
      <c r="I138" s="1247"/>
      <c r="J138" s="1226"/>
      <c r="K138" s="1227"/>
      <c r="L138" s="1228"/>
      <c r="Q138" s="1232"/>
      <c r="R138" s="1232"/>
      <c r="S138" s="1232"/>
      <c r="T138" s="1232"/>
    </row>
    <row r="139" spans="1:20" s="1211" customFormat="1" ht="11.25">
      <c r="A139" s="1225"/>
      <c r="B139" s="1225"/>
      <c r="C139" s="1226"/>
      <c r="D139" s="1226"/>
      <c r="E139" s="1226"/>
      <c r="F139" s="1225"/>
      <c r="G139" s="1246"/>
      <c r="H139" s="1246"/>
      <c r="I139" s="1247"/>
      <c r="J139" s="1226"/>
      <c r="K139" s="1227"/>
      <c r="L139" s="1228"/>
      <c r="Q139" s="1232"/>
      <c r="R139" s="1232"/>
      <c r="S139" s="1232"/>
      <c r="T139" s="1232"/>
    </row>
    <row r="140" spans="1:20" s="1211" customFormat="1" ht="11.25">
      <c r="A140" s="1329"/>
      <c r="B140" s="1209"/>
      <c r="C140" s="1212"/>
      <c r="D140" s="1207"/>
      <c r="E140" s="1207"/>
      <c r="F140" s="1207"/>
      <c r="G140" s="1330"/>
      <c r="H140" s="1330"/>
      <c r="I140" s="1331"/>
      <c r="J140" s="1332"/>
      <c r="K140" s="1331"/>
      <c r="L140" s="1333"/>
      <c r="Q140" s="1232"/>
      <c r="R140" s="1232"/>
      <c r="S140" s="1232"/>
      <c r="T140" s="1232"/>
    </row>
    <row r="141" spans="1:20" s="1189" customFormat="1" ht="42">
      <c r="A141" s="1179" t="s">
        <v>2605</v>
      </c>
      <c r="B141" s="1179" t="s">
        <v>2606</v>
      </c>
      <c r="C141" s="1179" t="s">
        <v>2607</v>
      </c>
      <c r="D141" s="1179" t="s">
        <v>2608</v>
      </c>
      <c r="E141" s="1179" t="s">
        <v>2609</v>
      </c>
      <c r="F141" s="1179" t="s">
        <v>2610</v>
      </c>
      <c r="G141" s="1180" t="s">
        <v>2611</v>
      </c>
      <c r="H141" s="1180" t="s">
        <v>2612</v>
      </c>
      <c r="I141" s="1181" t="s">
        <v>2613</v>
      </c>
      <c r="J141" s="1182" t="s">
        <v>2614</v>
      </c>
      <c r="K141" s="1179" t="s">
        <v>2615</v>
      </c>
      <c r="L141" s="1179" t="s">
        <v>2616</v>
      </c>
      <c r="M141" s="1189">
        <v>15</v>
      </c>
    </row>
    <row r="142" spans="1:20" s="1189" customFormat="1" ht="101.25">
      <c r="A142" s="1214">
        <v>78</v>
      </c>
      <c r="B142" s="1214">
        <v>1</v>
      </c>
      <c r="C142" s="1194" t="s">
        <v>2760</v>
      </c>
      <c r="D142" s="1258" t="s">
        <v>2761</v>
      </c>
      <c r="E142" s="1258" t="s">
        <v>47</v>
      </c>
      <c r="F142" s="1334">
        <v>40</v>
      </c>
      <c r="G142" s="1335">
        <v>2850000</v>
      </c>
      <c r="H142" s="1215">
        <f>G142*F142</f>
        <v>114000000</v>
      </c>
      <c r="I142" s="1214" t="s">
        <v>2762</v>
      </c>
      <c r="J142" s="1214"/>
      <c r="K142" s="1214" t="s">
        <v>2763</v>
      </c>
      <c r="L142" s="1194" t="s">
        <v>2764</v>
      </c>
    </row>
    <row r="143" spans="1:20" s="1189" customFormat="1" ht="11.25">
      <c r="A143" s="1200"/>
      <c r="B143" s="1200"/>
      <c r="C143" s="1179" t="s">
        <v>2622</v>
      </c>
      <c r="D143" s="1179"/>
      <c r="E143" s="1179"/>
      <c r="F143" s="1200"/>
      <c r="G143" s="1218"/>
      <c r="H143" s="1218">
        <f>SUM(H140:H142)</f>
        <v>114000000</v>
      </c>
      <c r="I143" s="1219"/>
      <c r="J143" s="1179"/>
      <c r="K143" s="1220"/>
      <c r="L143" s="1201"/>
    </row>
    <row r="144" spans="1:20" s="1189" customFormat="1" ht="18.600000000000001" customHeight="1">
      <c r="A144" s="1200"/>
      <c r="B144" s="1200"/>
      <c r="C144" s="1179" t="e">
        <f ca="1">[1]!vnd(H143,TRUE)</f>
        <v>#NAME?</v>
      </c>
      <c r="D144" s="1179"/>
      <c r="E144" s="1179"/>
      <c r="F144" s="1200"/>
      <c r="G144" s="1218"/>
      <c r="H144" s="1218"/>
      <c r="I144" s="1219"/>
      <c r="J144" s="1179"/>
      <c r="K144" s="1220"/>
      <c r="L144" s="1201"/>
    </row>
    <row r="145" spans="1:20" s="1189" customFormat="1" ht="18.600000000000001" customHeight="1">
      <c r="A145" s="1225"/>
      <c r="B145" s="1225"/>
      <c r="C145" s="1226"/>
      <c r="D145" s="1226"/>
      <c r="E145" s="1226"/>
      <c r="F145" s="1225"/>
      <c r="G145" s="1246"/>
      <c r="H145" s="1246"/>
      <c r="I145" s="1247"/>
      <c r="J145" s="1226"/>
      <c r="K145" s="1227"/>
      <c r="L145" s="1228"/>
    </row>
    <row r="146" spans="1:20" s="1189" customFormat="1" ht="18.600000000000001" customHeight="1">
      <c r="A146" s="1225"/>
      <c r="B146" s="1225"/>
      <c r="C146" s="1226"/>
      <c r="D146" s="1226"/>
      <c r="E146" s="1226"/>
      <c r="F146" s="1225"/>
      <c r="G146" s="1246"/>
      <c r="H146" s="1246"/>
      <c r="I146" s="1247"/>
      <c r="J146" s="1226"/>
      <c r="K146" s="1227"/>
      <c r="L146" s="1228"/>
    </row>
    <row r="147" spans="1:20" s="1211" customFormat="1" ht="18.600000000000001" customHeight="1">
      <c r="A147" s="1225"/>
      <c r="B147" s="1225"/>
      <c r="C147" s="1226"/>
      <c r="D147" s="1226"/>
      <c r="E147" s="1226"/>
      <c r="F147" s="1225"/>
      <c r="G147" s="1246"/>
      <c r="H147" s="1246"/>
      <c r="I147" s="1247"/>
      <c r="J147" s="1226"/>
      <c r="K147" s="1227"/>
      <c r="L147" s="1228"/>
    </row>
    <row r="148" spans="1:20" s="1211" customFormat="1" ht="11.25">
      <c r="A148" s="1229"/>
      <c r="B148" s="1229"/>
      <c r="C148" s="1210"/>
      <c r="D148" s="1336"/>
      <c r="E148" s="1336"/>
      <c r="F148" s="1337"/>
      <c r="G148" s="1338"/>
      <c r="H148" s="1230"/>
      <c r="I148" s="1229"/>
      <c r="J148" s="1229"/>
      <c r="K148" s="1229"/>
      <c r="L148" s="1210"/>
    </row>
    <row r="149" spans="1:20" s="1189" customFormat="1" ht="42">
      <c r="A149" s="1179" t="s">
        <v>2605</v>
      </c>
      <c r="B149" s="1179" t="s">
        <v>2606</v>
      </c>
      <c r="C149" s="1179" t="s">
        <v>2607</v>
      </c>
      <c r="D149" s="1179" t="s">
        <v>2608</v>
      </c>
      <c r="E149" s="1179" t="s">
        <v>2609</v>
      </c>
      <c r="F149" s="1179" t="s">
        <v>2610</v>
      </c>
      <c r="G149" s="1180" t="s">
        <v>2611</v>
      </c>
      <c r="H149" s="1180" t="s">
        <v>2612</v>
      </c>
      <c r="I149" s="1181" t="s">
        <v>2613</v>
      </c>
      <c r="J149" s="1182" t="s">
        <v>2614</v>
      </c>
      <c r="K149" s="1179" t="s">
        <v>2615</v>
      </c>
      <c r="L149" s="1179" t="s">
        <v>2616</v>
      </c>
      <c r="M149" s="1189">
        <v>16</v>
      </c>
    </row>
    <row r="150" spans="1:20" s="1189" customFormat="1" ht="45">
      <c r="A150" s="1190">
        <v>80</v>
      </c>
      <c r="B150" s="1192">
        <v>1</v>
      </c>
      <c r="C150" s="1191" t="s">
        <v>2765</v>
      </c>
      <c r="D150" s="1192" t="s">
        <v>1542</v>
      </c>
      <c r="E150" s="1192" t="s">
        <v>192</v>
      </c>
      <c r="F150" s="1190">
        <v>15</v>
      </c>
      <c r="G150" s="1339">
        <v>41500000</v>
      </c>
      <c r="H150" s="1339">
        <f t="shared" ref="H150:H156" si="3">F150*G150</f>
        <v>622500000</v>
      </c>
      <c r="I150" s="1192" t="s">
        <v>2766</v>
      </c>
      <c r="J150" s="1190" t="s">
        <v>2767</v>
      </c>
      <c r="K150" s="1192">
        <v>4</v>
      </c>
      <c r="L150" s="1194" t="s">
        <v>2768</v>
      </c>
    </row>
    <row r="151" spans="1:20" s="1189" customFormat="1" ht="33.75">
      <c r="A151" s="1190">
        <v>81</v>
      </c>
      <c r="B151" s="1192">
        <v>2</v>
      </c>
      <c r="C151" s="1191" t="s">
        <v>2769</v>
      </c>
      <c r="D151" s="1192" t="s">
        <v>1542</v>
      </c>
      <c r="E151" s="1192" t="s">
        <v>192</v>
      </c>
      <c r="F151" s="1190">
        <v>5</v>
      </c>
      <c r="G151" s="1339">
        <v>75000000</v>
      </c>
      <c r="H151" s="1339">
        <f t="shared" si="3"/>
        <v>375000000</v>
      </c>
      <c r="I151" s="1192" t="s">
        <v>2770</v>
      </c>
      <c r="J151" s="1190" t="s">
        <v>2771</v>
      </c>
      <c r="K151" s="1192">
        <v>4</v>
      </c>
      <c r="L151" s="1194" t="s">
        <v>2768</v>
      </c>
    </row>
    <row r="152" spans="1:20" s="1189" customFormat="1" ht="45">
      <c r="A152" s="1190">
        <v>84</v>
      </c>
      <c r="B152" s="1192">
        <v>3</v>
      </c>
      <c r="C152" s="1191" t="s">
        <v>2772</v>
      </c>
      <c r="D152" s="1192" t="s">
        <v>1542</v>
      </c>
      <c r="E152" s="1192" t="s">
        <v>192</v>
      </c>
      <c r="F152" s="1190">
        <v>8</v>
      </c>
      <c r="G152" s="1339">
        <v>74000000</v>
      </c>
      <c r="H152" s="1339">
        <f t="shared" si="3"/>
        <v>592000000</v>
      </c>
      <c r="I152" s="1192" t="s">
        <v>2773</v>
      </c>
      <c r="J152" s="1190" t="s">
        <v>2774</v>
      </c>
      <c r="K152" s="1192">
        <v>4</v>
      </c>
      <c r="L152" s="1194" t="s">
        <v>2768</v>
      </c>
    </row>
    <row r="153" spans="1:20" s="1241" customFormat="1" ht="45">
      <c r="A153" s="1190">
        <v>86</v>
      </c>
      <c r="B153" s="1192">
        <v>4</v>
      </c>
      <c r="C153" s="1191" t="s">
        <v>2775</v>
      </c>
      <c r="D153" s="1192" t="s">
        <v>1542</v>
      </c>
      <c r="E153" s="1192" t="s">
        <v>192</v>
      </c>
      <c r="F153" s="1190">
        <v>10</v>
      </c>
      <c r="G153" s="1339">
        <v>62000000</v>
      </c>
      <c r="H153" s="1339">
        <f t="shared" si="3"/>
        <v>620000000</v>
      </c>
      <c r="I153" s="1192" t="s">
        <v>2776</v>
      </c>
      <c r="J153" s="1190" t="s">
        <v>2777</v>
      </c>
      <c r="K153" s="1192">
        <v>4</v>
      </c>
      <c r="L153" s="1194" t="s">
        <v>2768</v>
      </c>
      <c r="M153" s="1189"/>
      <c r="N153" s="1189"/>
      <c r="O153" s="1189"/>
      <c r="P153" s="1189"/>
      <c r="Q153" s="1189"/>
      <c r="R153" s="1189"/>
      <c r="S153" s="1189"/>
      <c r="T153" s="1189"/>
    </row>
    <row r="154" spans="1:20" s="1316" customFormat="1" ht="22.5">
      <c r="A154" s="1190">
        <v>87</v>
      </c>
      <c r="B154" s="1192">
        <v>5</v>
      </c>
      <c r="C154" s="1191" t="s">
        <v>2778</v>
      </c>
      <c r="D154" s="1192" t="s">
        <v>1542</v>
      </c>
      <c r="E154" s="1192" t="s">
        <v>192</v>
      </c>
      <c r="F154" s="1190">
        <v>2</v>
      </c>
      <c r="G154" s="1339">
        <v>52000000</v>
      </c>
      <c r="H154" s="1339">
        <f t="shared" si="3"/>
        <v>104000000</v>
      </c>
      <c r="I154" s="1192" t="s">
        <v>2779</v>
      </c>
      <c r="J154" s="1190" t="s">
        <v>2780</v>
      </c>
      <c r="K154" s="1192">
        <v>4</v>
      </c>
      <c r="L154" s="1194" t="s">
        <v>2768</v>
      </c>
      <c r="M154" s="1189"/>
      <c r="N154" s="1189"/>
      <c r="O154" s="1189"/>
      <c r="P154" s="1189"/>
      <c r="Q154" s="1189"/>
      <c r="R154" s="1189"/>
      <c r="S154" s="1189"/>
      <c r="T154" s="1189"/>
    </row>
    <row r="155" spans="1:20" s="1189" customFormat="1" ht="22.5">
      <c r="A155" s="1190">
        <v>88</v>
      </c>
      <c r="B155" s="1192">
        <v>6</v>
      </c>
      <c r="C155" s="1191" t="s">
        <v>2781</v>
      </c>
      <c r="D155" s="1192" t="s">
        <v>1542</v>
      </c>
      <c r="E155" s="1192" t="s">
        <v>192</v>
      </c>
      <c r="F155" s="1190">
        <v>2</v>
      </c>
      <c r="G155" s="1339">
        <v>62000000</v>
      </c>
      <c r="H155" s="1339">
        <f t="shared" si="3"/>
        <v>124000000</v>
      </c>
      <c r="I155" s="1192" t="s">
        <v>2779</v>
      </c>
      <c r="J155" s="1190" t="s">
        <v>2782</v>
      </c>
      <c r="K155" s="1192">
        <v>4</v>
      </c>
      <c r="L155" s="1194" t="s">
        <v>2768</v>
      </c>
    </row>
    <row r="156" spans="1:20" s="1189" customFormat="1" ht="33.75">
      <c r="A156" s="1190">
        <v>90</v>
      </c>
      <c r="B156" s="1192">
        <v>7</v>
      </c>
      <c r="C156" s="1191" t="s">
        <v>2783</v>
      </c>
      <c r="D156" s="1192" t="s">
        <v>1542</v>
      </c>
      <c r="E156" s="1192" t="s">
        <v>192</v>
      </c>
      <c r="F156" s="1190">
        <v>1</v>
      </c>
      <c r="G156" s="1339">
        <v>82000000</v>
      </c>
      <c r="H156" s="1339">
        <f t="shared" si="3"/>
        <v>82000000</v>
      </c>
      <c r="I156" s="1192" t="s">
        <v>2784</v>
      </c>
      <c r="J156" s="1190" t="s">
        <v>2785</v>
      </c>
      <c r="K156" s="1192">
        <v>4</v>
      </c>
      <c r="L156" s="1194" t="s">
        <v>2768</v>
      </c>
    </row>
    <row r="157" spans="1:20" s="1189" customFormat="1" ht="17.45" customHeight="1">
      <c r="A157" s="1200"/>
      <c r="B157" s="1200"/>
      <c r="C157" s="1179" t="s">
        <v>2622</v>
      </c>
      <c r="D157" s="1179"/>
      <c r="E157" s="1179"/>
      <c r="F157" s="1200"/>
      <c r="G157" s="1218"/>
      <c r="H157" s="1218">
        <f>SUM(H150:H156)</f>
        <v>2519500000</v>
      </c>
      <c r="I157" s="1219"/>
      <c r="J157" s="1179"/>
      <c r="K157" s="1220"/>
      <c r="L157" s="1201"/>
    </row>
    <row r="158" spans="1:20" s="1189" customFormat="1" ht="22.15" customHeight="1">
      <c r="A158" s="1200"/>
      <c r="B158" s="1200"/>
      <c r="C158" s="2181" t="e">
        <f ca="1">[1]!vnd(H157,TRUE)</f>
        <v>#NAME?</v>
      </c>
      <c r="D158" s="2181"/>
      <c r="E158" s="2181"/>
      <c r="F158" s="2181"/>
      <c r="G158" s="2181"/>
      <c r="H158" s="1218"/>
      <c r="I158" s="1219"/>
      <c r="J158" s="1179"/>
      <c r="K158" s="1220"/>
      <c r="L158" s="1201"/>
    </row>
    <row r="159" spans="1:20" s="1211" customFormat="1" ht="22.15" customHeight="1">
      <c r="A159" s="1225"/>
      <c r="B159" s="1225"/>
      <c r="C159" s="1226"/>
      <c r="D159" s="1226"/>
      <c r="E159" s="1226"/>
      <c r="F159" s="1226"/>
      <c r="G159" s="1226"/>
      <c r="H159" s="1246"/>
      <c r="I159" s="1247"/>
      <c r="J159" s="1226"/>
      <c r="K159" s="1227"/>
      <c r="L159" s="1228"/>
    </row>
    <row r="160" spans="1:20" s="1211" customFormat="1" ht="22.15" customHeight="1">
      <c r="A160" s="1225"/>
      <c r="B160" s="1225"/>
      <c r="C160" s="1226"/>
      <c r="D160" s="1226"/>
      <c r="E160" s="1226"/>
      <c r="F160" s="1225"/>
      <c r="G160" s="1246"/>
      <c r="H160" s="1246"/>
      <c r="I160" s="1247"/>
      <c r="J160" s="1226"/>
      <c r="K160" s="1227"/>
      <c r="L160" s="1228"/>
    </row>
    <row r="161" spans="1:20" s="1189" customFormat="1" ht="42">
      <c r="A161" s="1179" t="s">
        <v>2605</v>
      </c>
      <c r="B161" s="1179" t="s">
        <v>2606</v>
      </c>
      <c r="C161" s="1179" t="s">
        <v>2607</v>
      </c>
      <c r="D161" s="1179" t="s">
        <v>2608</v>
      </c>
      <c r="E161" s="1179" t="s">
        <v>2609</v>
      </c>
      <c r="F161" s="1179" t="s">
        <v>2610</v>
      </c>
      <c r="G161" s="1180" t="s">
        <v>2611</v>
      </c>
      <c r="H161" s="1180" t="s">
        <v>2612</v>
      </c>
      <c r="I161" s="1181" t="s">
        <v>2613</v>
      </c>
      <c r="J161" s="1182" t="s">
        <v>2614</v>
      </c>
      <c r="K161" s="1179" t="s">
        <v>2615</v>
      </c>
      <c r="L161" s="1179" t="s">
        <v>2616</v>
      </c>
      <c r="M161" s="1189">
        <v>17</v>
      </c>
    </row>
    <row r="162" spans="1:20" s="1216" customFormat="1" ht="22.5">
      <c r="A162" s="1214">
        <v>1</v>
      </c>
      <c r="B162" s="1214">
        <v>1</v>
      </c>
      <c r="C162" s="1194" t="s">
        <v>2786</v>
      </c>
      <c r="D162" s="1214" t="s">
        <v>1542</v>
      </c>
      <c r="E162" s="1258" t="s">
        <v>192</v>
      </c>
      <c r="F162" s="1258">
        <v>5</v>
      </c>
      <c r="G162" s="1259">
        <v>52000000</v>
      </c>
      <c r="H162" s="1285">
        <f t="shared" ref="H162:H176" si="4">F162*G162</f>
        <v>260000000</v>
      </c>
      <c r="I162" s="1214" t="s">
        <v>2787</v>
      </c>
      <c r="J162" s="1258"/>
      <c r="K162" s="1258">
        <v>4</v>
      </c>
      <c r="L162" s="1194" t="s">
        <v>721</v>
      </c>
      <c r="M162" s="1189"/>
      <c r="N162" s="1189"/>
      <c r="O162" s="1189"/>
      <c r="P162" s="1189"/>
      <c r="Q162" s="1189"/>
      <c r="R162" s="1189"/>
      <c r="S162" s="1189"/>
      <c r="T162" s="1189"/>
    </row>
    <row r="163" spans="1:20" s="1216" customFormat="1" ht="22.5">
      <c r="A163" s="1214">
        <v>2</v>
      </c>
      <c r="B163" s="1214">
        <v>2</v>
      </c>
      <c r="C163" s="1194" t="s">
        <v>2788</v>
      </c>
      <c r="D163" s="1214" t="s">
        <v>1542</v>
      </c>
      <c r="E163" s="1258" t="s">
        <v>192</v>
      </c>
      <c r="F163" s="1258">
        <v>12</v>
      </c>
      <c r="G163" s="1259">
        <v>50000000</v>
      </c>
      <c r="H163" s="1285">
        <f t="shared" si="4"/>
        <v>600000000</v>
      </c>
      <c r="I163" s="1214" t="s">
        <v>2787</v>
      </c>
      <c r="J163" s="1258"/>
      <c r="K163" s="1258">
        <v>4</v>
      </c>
      <c r="L163" s="1194" t="s">
        <v>721</v>
      </c>
      <c r="M163" s="1189"/>
      <c r="N163" s="1189"/>
      <c r="O163" s="1189"/>
      <c r="P163" s="1189"/>
      <c r="Q163" s="1189"/>
      <c r="R163" s="1189"/>
      <c r="S163" s="1189"/>
      <c r="T163" s="1189"/>
    </row>
    <row r="164" spans="1:20" s="1216" customFormat="1" ht="22.5">
      <c r="A164" s="1214">
        <v>3</v>
      </c>
      <c r="B164" s="1214">
        <v>3</v>
      </c>
      <c r="C164" s="1194" t="s">
        <v>2789</v>
      </c>
      <c r="D164" s="1214" t="s">
        <v>1542</v>
      </c>
      <c r="E164" s="1258" t="s">
        <v>192</v>
      </c>
      <c r="F164" s="1258">
        <v>2</v>
      </c>
      <c r="G164" s="1259">
        <v>64000000</v>
      </c>
      <c r="H164" s="1285">
        <f t="shared" si="4"/>
        <v>128000000</v>
      </c>
      <c r="I164" s="1214" t="s">
        <v>2787</v>
      </c>
      <c r="J164" s="1258"/>
      <c r="K164" s="1258">
        <v>4</v>
      </c>
      <c r="L164" s="1194" t="s">
        <v>721</v>
      </c>
      <c r="M164" s="1189"/>
      <c r="N164" s="1189"/>
      <c r="O164" s="1189"/>
      <c r="P164" s="1189"/>
      <c r="Q164" s="1189"/>
      <c r="R164" s="1189"/>
      <c r="S164" s="1189"/>
      <c r="T164" s="1189"/>
    </row>
    <row r="165" spans="1:20" s="1216" customFormat="1" ht="22.5">
      <c r="A165" s="1214">
        <v>4</v>
      </c>
      <c r="B165" s="1214">
        <v>4</v>
      </c>
      <c r="C165" s="1194" t="s">
        <v>2790</v>
      </c>
      <c r="D165" s="1214" t="s">
        <v>1542</v>
      </c>
      <c r="E165" s="1258" t="s">
        <v>192</v>
      </c>
      <c r="F165" s="1258">
        <v>12</v>
      </c>
      <c r="G165" s="1259">
        <v>68000000</v>
      </c>
      <c r="H165" s="1285">
        <f t="shared" si="4"/>
        <v>816000000</v>
      </c>
      <c r="I165" s="1214" t="s">
        <v>2787</v>
      </c>
      <c r="J165" s="1258"/>
      <c r="K165" s="1258">
        <v>4</v>
      </c>
      <c r="L165" s="1194" t="s">
        <v>721</v>
      </c>
      <c r="M165" s="1241" t="s">
        <v>2791</v>
      </c>
      <c r="N165" s="1241"/>
      <c r="O165" s="1241"/>
      <c r="P165" s="1241"/>
      <c r="Q165" s="1241"/>
      <c r="R165" s="1241"/>
      <c r="S165" s="1241"/>
      <c r="T165" s="1241"/>
    </row>
    <row r="166" spans="1:20" s="1216" customFormat="1" ht="22.5">
      <c r="A166" s="1192">
        <v>6</v>
      </c>
      <c r="B166" s="1192">
        <v>5</v>
      </c>
      <c r="C166" s="1191" t="s">
        <v>2792</v>
      </c>
      <c r="D166" s="1192" t="s">
        <v>1542</v>
      </c>
      <c r="E166" s="1190" t="s">
        <v>192</v>
      </c>
      <c r="F166" s="1340">
        <v>1</v>
      </c>
      <c r="G166" s="1340">
        <v>33000000</v>
      </c>
      <c r="H166" s="1340">
        <f t="shared" si="4"/>
        <v>33000000</v>
      </c>
      <c r="I166" s="1190" t="s">
        <v>2787</v>
      </c>
      <c r="J166" s="1190"/>
      <c r="K166" s="1190">
        <v>4</v>
      </c>
      <c r="L166" s="1191" t="s">
        <v>721</v>
      </c>
      <c r="M166" s="1255"/>
      <c r="N166" s="1255"/>
      <c r="O166" s="1255"/>
      <c r="P166" s="1255"/>
      <c r="Q166" s="1189"/>
      <c r="R166" s="1189"/>
      <c r="S166" s="1189"/>
      <c r="T166" s="1189"/>
    </row>
    <row r="167" spans="1:20" s="1189" customFormat="1" ht="22.5">
      <c r="A167" s="1214">
        <v>7</v>
      </c>
      <c r="B167" s="1214">
        <v>6</v>
      </c>
      <c r="C167" s="1194" t="s">
        <v>2793</v>
      </c>
      <c r="D167" s="1214" t="s">
        <v>1542</v>
      </c>
      <c r="E167" s="1258" t="s">
        <v>192</v>
      </c>
      <c r="F167" s="1258">
        <v>1</v>
      </c>
      <c r="G167" s="1259">
        <v>45000000</v>
      </c>
      <c r="H167" s="1285">
        <f t="shared" si="4"/>
        <v>45000000</v>
      </c>
      <c r="I167" s="1214" t="s">
        <v>2787</v>
      </c>
      <c r="J167" s="1258"/>
      <c r="K167" s="1258">
        <v>4</v>
      </c>
      <c r="L167" s="1194" t="s">
        <v>721</v>
      </c>
      <c r="M167" s="1241"/>
      <c r="N167" s="1241"/>
      <c r="O167" s="1241"/>
      <c r="P167" s="1241"/>
      <c r="Q167" s="1242"/>
      <c r="R167" s="1242"/>
      <c r="S167" s="1242"/>
      <c r="T167" s="1242"/>
    </row>
    <row r="168" spans="1:20" s="1189" customFormat="1" ht="22.5">
      <c r="A168" s="1192">
        <v>8</v>
      </c>
      <c r="B168" s="1192">
        <v>7</v>
      </c>
      <c r="C168" s="1191" t="s">
        <v>2794</v>
      </c>
      <c r="D168" s="1192" t="s">
        <v>1542</v>
      </c>
      <c r="E168" s="1190" t="s">
        <v>192</v>
      </c>
      <c r="F168" s="1190">
        <v>15</v>
      </c>
      <c r="G168" s="1193">
        <v>33000000</v>
      </c>
      <c r="H168" s="1341">
        <f t="shared" si="4"/>
        <v>495000000</v>
      </c>
      <c r="I168" s="1192" t="s">
        <v>2787</v>
      </c>
      <c r="J168" s="1190"/>
      <c r="K168" s="1190">
        <v>4</v>
      </c>
      <c r="L168" s="1191" t="s">
        <v>721</v>
      </c>
      <c r="Q168" s="1236"/>
      <c r="R168" s="1236"/>
      <c r="S168" s="1236"/>
      <c r="T168" s="1236"/>
    </row>
    <row r="169" spans="1:20" s="1189" customFormat="1" ht="22.5">
      <c r="A169" s="1214">
        <v>9</v>
      </c>
      <c r="B169" s="1214">
        <v>8</v>
      </c>
      <c r="C169" s="1194" t="s">
        <v>2795</v>
      </c>
      <c r="D169" s="1214" t="s">
        <v>1542</v>
      </c>
      <c r="E169" s="1258" t="s">
        <v>192</v>
      </c>
      <c r="F169" s="1258">
        <v>10</v>
      </c>
      <c r="G169" s="1259">
        <v>48000000</v>
      </c>
      <c r="H169" s="1285">
        <f t="shared" si="4"/>
        <v>480000000</v>
      </c>
      <c r="I169" s="1214" t="s">
        <v>2787</v>
      </c>
      <c r="J169" s="1258"/>
      <c r="K169" s="1258">
        <v>4</v>
      </c>
      <c r="L169" s="1194" t="s">
        <v>721</v>
      </c>
      <c r="Q169" s="1242"/>
      <c r="R169" s="1242"/>
      <c r="S169" s="1242"/>
      <c r="T169" s="1242"/>
    </row>
    <row r="170" spans="1:20" s="1189" customFormat="1" ht="22.5">
      <c r="A170" s="1214">
        <v>10</v>
      </c>
      <c r="B170" s="1214">
        <v>9</v>
      </c>
      <c r="C170" s="1194" t="s">
        <v>2796</v>
      </c>
      <c r="D170" s="1214" t="s">
        <v>1542</v>
      </c>
      <c r="E170" s="1258" t="s">
        <v>192</v>
      </c>
      <c r="F170" s="1258">
        <v>10</v>
      </c>
      <c r="G170" s="1259">
        <v>40000000</v>
      </c>
      <c r="H170" s="1285">
        <f t="shared" si="4"/>
        <v>400000000</v>
      </c>
      <c r="I170" s="1214" t="s">
        <v>2787</v>
      </c>
      <c r="J170" s="1258"/>
      <c r="K170" s="1258">
        <v>4</v>
      </c>
      <c r="L170" s="1194" t="s">
        <v>721</v>
      </c>
      <c r="M170" s="1255"/>
      <c r="N170" s="1255"/>
      <c r="O170" s="1255"/>
      <c r="P170" s="1255"/>
    </row>
    <row r="171" spans="1:20" s="1189" customFormat="1" ht="22.5">
      <c r="A171" s="1214">
        <v>11</v>
      </c>
      <c r="B171" s="1214">
        <v>10</v>
      </c>
      <c r="C171" s="1194" t="s">
        <v>2797</v>
      </c>
      <c r="D171" s="1214" t="s">
        <v>1542</v>
      </c>
      <c r="E171" s="1258" t="s">
        <v>192</v>
      </c>
      <c r="F171" s="1258">
        <v>5</v>
      </c>
      <c r="G171" s="1259">
        <v>62000000</v>
      </c>
      <c r="H171" s="1285">
        <f t="shared" si="4"/>
        <v>310000000</v>
      </c>
      <c r="I171" s="1214" t="s">
        <v>2787</v>
      </c>
      <c r="J171" s="1258"/>
      <c r="K171" s="1258">
        <v>4</v>
      </c>
      <c r="L171" s="1194" t="s">
        <v>721</v>
      </c>
    </row>
    <row r="172" spans="1:20" s="1189" customFormat="1" ht="22.5">
      <c r="A172" s="1258">
        <v>19</v>
      </c>
      <c r="B172" s="1214">
        <v>11</v>
      </c>
      <c r="C172" s="1194" t="s">
        <v>2798</v>
      </c>
      <c r="D172" s="1214" t="s">
        <v>1848</v>
      </c>
      <c r="E172" s="1258" t="s">
        <v>47</v>
      </c>
      <c r="F172" s="1258">
        <v>50</v>
      </c>
      <c r="G172" s="1259">
        <v>11000000</v>
      </c>
      <c r="H172" s="1285">
        <f t="shared" si="4"/>
        <v>550000000</v>
      </c>
      <c r="I172" s="1214" t="s">
        <v>2799</v>
      </c>
      <c r="J172" s="1258" t="s">
        <v>2800</v>
      </c>
      <c r="K172" s="1258">
        <v>4</v>
      </c>
      <c r="L172" s="1194" t="s">
        <v>721</v>
      </c>
    </row>
    <row r="173" spans="1:20" s="1189" customFormat="1" ht="22.5">
      <c r="A173" s="1214">
        <v>43</v>
      </c>
      <c r="B173" s="1214">
        <v>12</v>
      </c>
      <c r="C173" s="1194" t="s">
        <v>2801</v>
      </c>
      <c r="D173" s="1214" t="s">
        <v>1542</v>
      </c>
      <c r="E173" s="1258" t="s">
        <v>47</v>
      </c>
      <c r="F173" s="1258">
        <v>10</v>
      </c>
      <c r="G173" s="1342">
        <v>14000000</v>
      </c>
      <c r="H173" s="1285">
        <f t="shared" si="4"/>
        <v>140000000</v>
      </c>
      <c r="I173" s="1214" t="s">
        <v>803</v>
      </c>
      <c r="J173" s="1258"/>
      <c r="K173" s="1258">
        <v>4</v>
      </c>
      <c r="L173" s="1194" t="s">
        <v>721</v>
      </c>
    </row>
    <row r="174" spans="1:20" s="1189" customFormat="1" ht="22.5">
      <c r="A174" s="1214">
        <v>44</v>
      </c>
      <c r="B174" s="1214">
        <v>13</v>
      </c>
      <c r="C174" s="1194" t="s">
        <v>2802</v>
      </c>
      <c r="D174" s="1214" t="s">
        <v>1542</v>
      </c>
      <c r="E174" s="1258" t="s">
        <v>47</v>
      </c>
      <c r="F174" s="1258">
        <v>10</v>
      </c>
      <c r="G174" s="1342">
        <v>14000000</v>
      </c>
      <c r="H174" s="1285">
        <f t="shared" si="4"/>
        <v>140000000</v>
      </c>
      <c r="I174" s="1214" t="s">
        <v>803</v>
      </c>
      <c r="J174" s="1258"/>
      <c r="K174" s="1258">
        <v>4</v>
      </c>
      <c r="L174" s="1194" t="s">
        <v>721</v>
      </c>
    </row>
    <row r="175" spans="1:20" s="1189" customFormat="1" ht="22.5">
      <c r="A175" s="1214">
        <v>124</v>
      </c>
      <c r="B175" s="1214">
        <v>14</v>
      </c>
      <c r="C175" s="1194" t="s">
        <v>2803</v>
      </c>
      <c r="D175" s="1214" t="s">
        <v>725</v>
      </c>
      <c r="E175" s="1258" t="s">
        <v>47</v>
      </c>
      <c r="F175" s="1258">
        <v>2</v>
      </c>
      <c r="G175" s="1342">
        <v>220000000</v>
      </c>
      <c r="H175" s="1285">
        <f t="shared" si="4"/>
        <v>440000000</v>
      </c>
      <c r="I175" s="1214" t="s">
        <v>803</v>
      </c>
      <c r="J175" s="1258"/>
      <c r="K175" s="1258">
        <v>4</v>
      </c>
      <c r="L175" s="1194" t="s">
        <v>721</v>
      </c>
    </row>
    <row r="176" spans="1:20" s="1189" customFormat="1" ht="22.5">
      <c r="A176" s="1214">
        <v>125</v>
      </c>
      <c r="B176" s="1214">
        <v>15</v>
      </c>
      <c r="C176" s="1194" t="s">
        <v>2804</v>
      </c>
      <c r="D176" s="1214" t="s">
        <v>725</v>
      </c>
      <c r="E176" s="1258" t="s">
        <v>47</v>
      </c>
      <c r="F176" s="1258">
        <v>20</v>
      </c>
      <c r="G176" s="1342">
        <v>28000000</v>
      </c>
      <c r="H176" s="1285">
        <f t="shared" si="4"/>
        <v>560000000</v>
      </c>
      <c r="I176" s="1214" t="s">
        <v>803</v>
      </c>
      <c r="J176" s="1258"/>
      <c r="K176" s="1258">
        <v>4</v>
      </c>
      <c r="L176" s="1194" t="s">
        <v>721</v>
      </c>
    </row>
    <row r="177" spans="1:13" s="1189" customFormat="1" ht="11.25">
      <c r="A177" s="1200"/>
      <c r="B177" s="1200"/>
      <c r="C177" s="1179" t="s">
        <v>2622</v>
      </c>
      <c r="D177" s="1179"/>
      <c r="E177" s="1179"/>
      <c r="F177" s="1200"/>
      <c r="G177" s="1218"/>
      <c r="H177" s="1218">
        <f>SUM(H162:H176)</f>
        <v>5397000000</v>
      </c>
      <c r="I177" s="1219"/>
      <c r="J177" s="1179"/>
      <c r="K177" s="1220"/>
      <c r="L177" s="1201"/>
    </row>
    <row r="178" spans="1:13" s="1211" customFormat="1" ht="11.25">
      <c r="A178" s="1200"/>
      <c r="B178" s="1200"/>
      <c r="C178" s="1179" t="e">
        <f ca="1">[1]!vnd(H177,TRUE)</f>
        <v>#NAME?</v>
      </c>
      <c r="D178" s="1179"/>
      <c r="E178" s="1179"/>
      <c r="F178" s="1200"/>
      <c r="G178" s="1218"/>
      <c r="H178" s="1218"/>
      <c r="I178" s="1219"/>
      <c r="J178" s="1179"/>
      <c r="K178" s="1220"/>
      <c r="L178" s="1201"/>
    </row>
    <row r="179" spans="1:13" s="1211" customFormat="1" ht="11.25">
      <c r="A179" s="1225"/>
      <c r="B179" s="1225"/>
      <c r="C179" s="1226"/>
      <c r="D179" s="1226"/>
      <c r="E179" s="1226"/>
      <c r="F179" s="1225"/>
      <c r="G179" s="1246"/>
      <c r="H179" s="1246"/>
      <c r="I179" s="1247"/>
      <c r="J179" s="1226"/>
      <c r="K179" s="1227"/>
      <c r="L179" s="1228"/>
    </row>
    <row r="180" spans="1:13" s="1211" customFormat="1" ht="11.25">
      <c r="A180" s="1225"/>
      <c r="B180" s="1225"/>
      <c r="C180" s="1226"/>
      <c r="D180" s="1226"/>
      <c r="E180" s="1226"/>
      <c r="F180" s="1225"/>
      <c r="G180" s="1246"/>
      <c r="H180" s="1246"/>
      <c r="I180" s="1247"/>
      <c r="J180" s="1226"/>
      <c r="K180" s="1227"/>
      <c r="L180" s="1228"/>
    </row>
    <row r="181" spans="1:13" s="1211" customFormat="1" ht="11.25">
      <c r="A181" s="1229"/>
      <c r="B181" s="1229"/>
      <c r="C181" s="1210"/>
      <c r="D181" s="1229"/>
      <c r="E181" s="1336"/>
      <c r="F181" s="1336"/>
      <c r="G181" s="1343"/>
      <c r="H181" s="1344"/>
      <c r="I181" s="1229"/>
      <c r="J181" s="1336"/>
      <c r="K181" s="1336"/>
      <c r="L181" s="1210"/>
    </row>
    <row r="182" spans="1:13" s="1189" customFormat="1" ht="42">
      <c r="A182" s="1179" t="s">
        <v>2605</v>
      </c>
      <c r="B182" s="1179" t="s">
        <v>2606</v>
      </c>
      <c r="C182" s="1179" t="s">
        <v>2607</v>
      </c>
      <c r="D182" s="1179" t="s">
        <v>2608</v>
      </c>
      <c r="E182" s="1179" t="s">
        <v>2609</v>
      </c>
      <c r="F182" s="1179" t="s">
        <v>2610</v>
      </c>
      <c r="G182" s="1180" t="s">
        <v>2611</v>
      </c>
      <c r="H182" s="1180" t="s">
        <v>2612</v>
      </c>
      <c r="I182" s="1181" t="s">
        <v>2613</v>
      </c>
      <c r="J182" s="1182" t="s">
        <v>2614</v>
      </c>
      <c r="K182" s="1179" t="s">
        <v>2615</v>
      </c>
      <c r="L182" s="1179" t="s">
        <v>2616</v>
      </c>
      <c r="M182" s="1189">
        <v>18</v>
      </c>
    </row>
    <row r="183" spans="1:13" s="1189" customFormat="1" ht="33.75">
      <c r="A183" s="1345">
        <v>20</v>
      </c>
      <c r="B183" s="1346">
        <v>1</v>
      </c>
      <c r="C183" s="1347" t="s">
        <v>2805</v>
      </c>
      <c r="D183" s="1348" t="s">
        <v>1781</v>
      </c>
      <c r="E183" s="1349" t="s">
        <v>22</v>
      </c>
      <c r="F183" s="1350">
        <v>60</v>
      </c>
      <c r="G183" s="1351">
        <v>43586000</v>
      </c>
      <c r="H183" s="1351">
        <f>F183*G183</f>
        <v>2615160000</v>
      </c>
      <c r="I183" s="1352" t="s">
        <v>1785</v>
      </c>
      <c r="J183" s="1352" t="s">
        <v>2806</v>
      </c>
      <c r="K183" s="1353">
        <v>1</v>
      </c>
      <c r="L183" s="1191" t="s">
        <v>1783</v>
      </c>
    </row>
    <row r="184" spans="1:13" s="1189" customFormat="1" ht="22.5">
      <c r="A184" s="1345">
        <v>21</v>
      </c>
      <c r="B184" s="1346">
        <v>2</v>
      </c>
      <c r="C184" s="1354" t="s">
        <v>2807</v>
      </c>
      <c r="D184" s="1348" t="s">
        <v>1781</v>
      </c>
      <c r="E184" s="1349" t="s">
        <v>22</v>
      </c>
      <c r="F184" s="1350">
        <v>20</v>
      </c>
      <c r="G184" s="1351">
        <v>24900000</v>
      </c>
      <c r="H184" s="1351">
        <f>F184*G184</f>
        <v>498000000</v>
      </c>
      <c r="I184" s="1352" t="s">
        <v>2808</v>
      </c>
      <c r="J184" s="1352" t="s">
        <v>2809</v>
      </c>
      <c r="K184" s="1353">
        <v>1</v>
      </c>
      <c r="L184" s="1191" t="s">
        <v>1783</v>
      </c>
    </row>
    <row r="185" spans="1:13" s="1189" customFormat="1" ht="22.5">
      <c r="A185" s="1345">
        <v>22</v>
      </c>
      <c r="B185" s="1346">
        <v>3</v>
      </c>
      <c r="C185" s="1354" t="s">
        <v>2810</v>
      </c>
      <c r="D185" s="1348" t="s">
        <v>1781</v>
      </c>
      <c r="E185" s="1349" t="s">
        <v>22</v>
      </c>
      <c r="F185" s="1350">
        <v>3</v>
      </c>
      <c r="G185" s="1351">
        <v>29900000</v>
      </c>
      <c r="H185" s="1351">
        <f>F185*G185</f>
        <v>89700000</v>
      </c>
      <c r="I185" s="1352" t="s">
        <v>2808</v>
      </c>
      <c r="J185" s="1352" t="s">
        <v>2809</v>
      </c>
      <c r="K185" s="1353">
        <v>1</v>
      </c>
      <c r="L185" s="1191" t="s">
        <v>1783</v>
      </c>
    </row>
    <row r="186" spans="1:13" s="1189" customFormat="1" ht="22.5">
      <c r="A186" s="1345">
        <v>23</v>
      </c>
      <c r="B186" s="1346">
        <v>4</v>
      </c>
      <c r="C186" s="1354" t="s">
        <v>2811</v>
      </c>
      <c r="D186" s="1352" t="s">
        <v>1339</v>
      </c>
      <c r="E186" s="1349" t="s">
        <v>47</v>
      </c>
      <c r="F186" s="1350">
        <v>3</v>
      </c>
      <c r="G186" s="1351">
        <v>41586000</v>
      </c>
      <c r="H186" s="1351">
        <f>F186*G186</f>
        <v>124758000</v>
      </c>
      <c r="I186" s="1352" t="s">
        <v>2812</v>
      </c>
      <c r="J186" s="1352" t="s">
        <v>2809</v>
      </c>
      <c r="K186" s="1353">
        <v>1</v>
      </c>
      <c r="L186" s="1191" t="s">
        <v>1783</v>
      </c>
    </row>
    <row r="187" spans="1:13" s="1189" customFormat="1" ht="22.5">
      <c r="A187" s="1345">
        <v>53</v>
      </c>
      <c r="B187" s="1346">
        <v>5</v>
      </c>
      <c r="C187" s="1354" t="s">
        <v>2813</v>
      </c>
      <c r="D187" s="1348" t="s">
        <v>1542</v>
      </c>
      <c r="E187" s="1349" t="s">
        <v>22</v>
      </c>
      <c r="F187" s="1350">
        <v>50</v>
      </c>
      <c r="G187" s="1314">
        <v>7770000</v>
      </c>
      <c r="H187" s="1351">
        <f>F187*G187</f>
        <v>388500000</v>
      </c>
      <c r="I187" s="1352" t="s">
        <v>1785</v>
      </c>
      <c r="J187" s="1352" t="s">
        <v>2806</v>
      </c>
      <c r="K187" s="1353">
        <v>1</v>
      </c>
      <c r="L187" s="1191" t="s">
        <v>1783</v>
      </c>
    </row>
    <row r="188" spans="1:13" s="1189" customFormat="1" ht="11.25">
      <c r="A188" s="1200"/>
      <c r="B188" s="1200"/>
      <c r="C188" s="1179" t="s">
        <v>2622</v>
      </c>
      <c r="D188" s="1179"/>
      <c r="E188" s="1179"/>
      <c r="F188" s="1200"/>
      <c r="G188" s="1218"/>
      <c r="H188" s="1218">
        <f>SUM(H183:H187)</f>
        <v>3716118000</v>
      </c>
      <c r="I188" s="1219"/>
      <c r="J188" s="1179"/>
      <c r="K188" s="1220"/>
      <c r="L188" s="1201"/>
    </row>
    <row r="189" spans="1:13" s="1189" customFormat="1" ht="11.25">
      <c r="A189" s="1200"/>
      <c r="B189" s="1200"/>
      <c r="C189" s="2181" t="e">
        <f ca="1">[1]!vnd(H188,TRUE)</f>
        <v>#NAME?</v>
      </c>
      <c r="D189" s="2181"/>
      <c r="E189" s="2181"/>
      <c r="F189" s="2181"/>
      <c r="G189" s="2181"/>
      <c r="H189" s="1218"/>
      <c r="I189" s="1219"/>
      <c r="J189" s="1179"/>
      <c r="K189" s="1220"/>
      <c r="L189" s="1201"/>
    </row>
    <row r="190" spans="1:13" s="1211" customFormat="1" ht="11.25">
      <c r="A190" s="1225"/>
      <c r="B190" s="1225"/>
      <c r="C190" s="1226"/>
      <c r="D190" s="1226"/>
      <c r="E190" s="1226"/>
      <c r="F190" s="1225"/>
      <c r="G190" s="1246"/>
      <c r="H190" s="1246"/>
      <c r="I190" s="1247"/>
      <c r="J190" s="1226"/>
      <c r="K190" s="1227"/>
      <c r="L190" s="1228"/>
    </row>
    <row r="191" spans="1:13" s="1211" customFormat="1" ht="11.25">
      <c r="A191" s="1225"/>
      <c r="B191" s="1225"/>
      <c r="C191" s="1226"/>
      <c r="D191" s="1226"/>
      <c r="E191" s="1226"/>
      <c r="F191" s="1225"/>
      <c r="G191" s="1246"/>
      <c r="H191" s="1246"/>
      <c r="I191" s="1247"/>
      <c r="J191" s="1226"/>
      <c r="K191" s="1227"/>
      <c r="L191" s="1228"/>
    </row>
    <row r="192" spans="1:13" s="1211" customFormat="1" ht="11.25">
      <c r="A192" s="1225"/>
      <c r="B192" s="1225"/>
      <c r="C192" s="1226"/>
      <c r="D192" s="1226"/>
      <c r="E192" s="1226"/>
      <c r="F192" s="1225"/>
      <c r="G192" s="1246"/>
      <c r="H192" s="1246"/>
      <c r="I192" s="1247"/>
      <c r="J192" s="1226"/>
      <c r="K192" s="1227"/>
      <c r="L192" s="1228"/>
    </row>
    <row r="193" spans="1:20" s="1211" customFormat="1" ht="11.25">
      <c r="A193" s="1355"/>
      <c r="B193" s="1356"/>
      <c r="C193" s="1357"/>
      <c r="D193" s="1358"/>
      <c r="E193" s="1359"/>
      <c r="F193" s="1360"/>
      <c r="G193" s="1322"/>
      <c r="H193" s="1361"/>
      <c r="I193" s="1362"/>
      <c r="J193" s="1362"/>
      <c r="K193" s="1363"/>
      <c r="L193" s="1212"/>
    </row>
    <row r="194" spans="1:20" s="1189" customFormat="1" ht="42">
      <c r="A194" s="1179" t="s">
        <v>2605</v>
      </c>
      <c r="B194" s="1179" t="s">
        <v>2606</v>
      </c>
      <c r="C194" s="1179" t="s">
        <v>2607</v>
      </c>
      <c r="D194" s="1179" t="s">
        <v>2608</v>
      </c>
      <c r="E194" s="1179" t="s">
        <v>2609</v>
      </c>
      <c r="F194" s="1179" t="s">
        <v>2610</v>
      </c>
      <c r="G194" s="1180" t="s">
        <v>2611</v>
      </c>
      <c r="H194" s="1180" t="s">
        <v>2612</v>
      </c>
      <c r="I194" s="1181" t="s">
        <v>2613</v>
      </c>
      <c r="J194" s="1182" t="s">
        <v>2614</v>
      </c>
      <c r="K194" s="1179" t="s">
        <v>2615</v>
      </c>
      <c r="L194" s="1179" t="s">
        <v>2616</v>
      </c>
      <c r="M194" s="1189">
        <v>19</v>
      </c>
    </row>
    <row r="195" spans="1:20" s="1189" customFormat="1" ht="33.75">
      <c r="A195" s="1364">
        <v>99</v>
      </c>
      <c r="B195" s="1364">
        <v>1</v>
      </c>
      <c r="C195" s="1365" t="s">
        <v>2814</v>
      </c>
      <c r="D195" s="1364" t="s">
        <v>539</v>
      </c>
      <c r="E195" s="1302" t="s">
        <v>47</v>
      </c>
      <c r="F195" s="1364">
        <v>50</v>
      </c>
      <c r="G195" s="1366">
        <v>19500000</v>
      </c>
      <c r="H195" s="1367">
        <f>F195*G195</f>
        <v>975000000</v>
      </c>
      <c r="I195" s="1214" t="s">
        <v>2815</v>
      </c>
      <c r="J195" s="1368" t="s">
        <v>2816</v>
      </c>
      <c r="K195" s="1214">
        <v>3</v>
      </c>
      <c r="L195" s="1194" t="s">
        <v>2817</v>
      </c>
    </row>
    <row r="196" spans="1:20" s="1189" customFormat="1" ht="56.25">
      <c r="A196" s="1364">
        <v>100</v>
      </c>
      <c r="B196" s="1364">
        <v>2</v>
      </c>
      <c r="C196" s="1365" t="s">
        <v>2818</v>
      </c>
      <c r="D196" s="1364" t="s">
        <v>539</v>
      </c>
      <c r="E196" s="1302" t="s">
        <v>47</v>
      </c>
      <c r="F196" s="1364">
        <v>30</v>
      </c>
      <c r="G196" s="1366">
        <v>19500000</v>
      </c>
      <c r="H196" s="1367">
        <f>F196*G196</f>
        <v>585000000</v>
      </c>
      <c r="I196" s="1214" t="s">
        <v>2815</v>
      </c>
      <c r="J196" s="1368" t="s">
        <v>2819</v>
      </c>
      <c r="K196" s="1214">
        <v>3</v>
      </c>
      <c r="L196" s="1194" t="s">
        <v>2817</v>
      </c>
    </row>
    <row r="197" spans="1:20" s="1189" customFormat="1" ht="56.25">
      <c r="A197" s="1364">
        <v>101</v>
      </c>
      <c r="B197" s="1364">
        <v>3</v>
      </c>
      <c r="C197" s="1365" t="s">
        <v>2820</v>
      </c>
      <c r="D197" s="1364" t="s">
        <v>539</v>
      </c>
      <c r="E197" s="1302" t="s">
        <v>47</v>
      </c>
      <c r="F197" s="1364">
        <v>10</v>
      </c>
      <c r="G197" s="1366">
        <v>37500000</v>
      </c>
      <c r="H197" s="1367">
        <f>F197*G197</f>
        <v>375000000</v>
      </c>
      <c r="I197" s="1214" t="s">
        <v>2815</v>
      </c>
      <c r="J197" s="1369" t="s">
        <v>2821</v>
      </c>
      <c r="K197" s="1214">
        <v>3</v>
      </c>
      <c r="L197" s="1194" t="s">
        <v>2817</v>
      </c>
    </row>
    <row r="198" spans="1:20" s="1189" customFormat="1" ht="22.5">
      <c r="A198" s="1364">
        <v>102</v>
      </c>
      <c r="B198" s="1364">
        <v>4</v>
      </c>
      <c r="C198" s="1365" t="s">
        <v>2822</v>
      </c>
      <c r="D198" s="1364" t="s">
        <v>539</v>
      </c>
      <c r="E198" s="1302" t="s">
        <v>47</v>
      </c>
      <c r="F198" s="1364">
        <v>1</v>
      </c>
      <c r="G198" s="1366">
        <v>54000000</v>
      </c>
      <c r="H198" s="1367">
        <f>F198*G198</f>
        <v>54000000</v>
      </c>
      <c r="I198" s="1214" t="s">
        <v>2815</v>
      </c>
      <c r="J198" s="1369" t="s">
        <v>2823</v>
      </c>
      <c r="K198" s="1214">
        <v>3</v>
      </c>
      <c r="L198" s="1194" t="s">
        <v>2817</v>
      </c>
    </row>
    <row r="199" spans="1:20" s="1189" customFormat="1" ht="11.25">
      <c r="A199" s="1200"/>
      <c r="B199" s="1200"/>
      <c r="C199" s="1179" t="s">
        <v>2622</v>
      </c>
      <c r="D199" s="1179"/>
      <c r="E199" s="1179"/>
      <c r="F199" s="1200"/>
      <c r="G199" s="1218"/>
      <c r="H199" s="1218">
        <f>SUM(H195:H198)</f>
        <v>1989000000</v>
      </c>
      <c r="I199" s="1219"/>
      <c r="J199" s="1179"/>
      <c r="K199" s="1220"/>
      <c r="L199" s="1201"/>
    </row>
    <row r="200" spans="1:20" s="1189" customFormat="1" ht="11.25">
      <c r="A200" s="1370"/>
      <c r="B200" s="1370"/>
      <c r="C200" s="2193" t="e">
        <f ca="1">[1]!vnd(H199,TRUE)</f>
        <v>#NAME?</v>
      </c>
      <c r="D200" s="2193"/>
      <c r="E200" s="2193"/>
      <c r="F200" s="2193"/>
      <c r="G200" s="1371"/>
      <c r="H200" s="1372"/>
      <c r="I200" s="1373"/>
      <c r="J200" s="1374"/>
      <c r="K200" s="1373"/>
      <c r="L200" s="1206"/>
    </row>
    <row r="201" spans="1:20" s="1211" customFormat="1" ht="28.15" customHeight="1">
      <c r="A201" s="1375"/>
      <c r="B201" s="1375"/>
      <c r="C201" s="1376"/>
      <c r="D201" s="1375"/>
      <c r="E201" s="1307"/>
      <c r="F201" s="1375"/>
      <c r="G201" s="1377"/>
      <c r="H201" s="1378"/>
      <c r="I201" s="1229"/>
      <c r="J201" s="1379"/>
      <c r="K201" s="1229"/>
      <c r="L201" s="1210"/>
    </row>
    <row r="202" spans="1:20" s="1189" customFormat="1" ht="42">
      <c r="A202" s="1179" t="s">
        <v>2605</v>
      </c>
      <c r="B202" s="1179" t="s">
        <v>2606</v>
      </c>
      <c r="C202" s="1179" t="s">
        <v>2607</v>
      </c>
      <c r="D202" s="1179" t="s">
        <v>2608</v>
      </c>
      <c r="E202" s="1179" t="s">
        <v>2609</v>
      </c>
      <c r="F202" s="1179" t="s">
        <v>2610</v>
      </c>
      <c r="G202" s="1180" t="s">
        <v>2611</v>
      </c>
      <c r="H202" s="1180" t="s">
        <v>2612</v>
      </c>
      <c r="I202" s="1181" t="s">
        <v>2613</v>
      </c>
      <c r="J202" s="1182" t="s">
        <v>2614</v>
      </c>
      <c r="K202" s="1179" t="s">
        <v>2615</v>
      </c>
      <c r="L202" s="1179" t="s">
        <v>2616</v>
      </c>
      <c r="M202" s="1189">
        <v>20</v>
      </c>
    </row>
    <row r="203" spans="1:20" s="1189" customFormat="1" ht="22.5">
      <c r="A203" s="1214">
        <v>64</v>
      </c>
      <c r="B203" s="1380">
        <v>1</v>
      </c>
      <c r="C203" s="1381" t="s">
        <v>2824</v>
      </c>
      <c r="D203" s="1382" t="s">
        <v>1542</v>
      </c>
      <c r="E203" s="1383" t="s">
        <v>47</v>
      </c>
      <c r="F203" s="1383">
        <v>2</v>
      </c>
      <c r="G203" s="1384">
        <v>27000000</v>
      </c>
      <c r="H203" s="1385">
        <f>F203*G203</f>
        <v>54000000</v>
      </c>
      <c r="I203" s="1386" t="s">
        <v>2825</v>
      </c>
      <c r="J203" s="1387" t="s">
        <v>2826</v>
      </c>
      <c r="K203" s="1383">
        <v>6</v>
      </c>
      <c r="L203" s="1194" t="s">
        <v>1949</v>
      </c>
      <c r="Q203" s="1316"/>
      <c r="R203" s="1316"/>
      <c r="S203" s="1316"/>
      <c r="T203" s="1316"/>
    </row>
    <row r="204" spans="1:20" s="1189" customFormat="1" ht="22.5">
      <c r="A204" s="1214">
        <v>66</v>
      </c>
      <c r="B204" s="1380">
        <v>2</v>
      </c>
      <c r="C204" s="1381" t="s">
        <v>2827</v>
      </c>
      <c r="D204" s="1383" t="s">
        <v>1542</v>
      </c>
      <c r="E204" s="1382" t="s">
        <v>47</v>
      </c>
      <c r="F204" s="1382">
        <v>100</v>
      </c>
      <c r="G204" s="1384">
        <v>510000</v>
      </c>
      <c r="H204" s="1385">
        <f>F204*G204</f>
        <v>51000000</v>
      </c>
      <c r="I204" s="1386" t="s">
        <v>1947</v>
      </c>
      <c r="J204" s="1387" t="s">
        <v>2828</v>
      </c>
      <c r="K204" s="1383">
        <v>0</v>
      </c>
      <c r="L204" s="1194" t="s">
        <v>1949</v>
      </c>
      <c r="M204" s="1289"/>
      <c r="N204" s="1289"/>
      <c r="O204" s="1289"/>
      <c r="P204" s="1289"/>
    </row>
    <row r="205" spans="1:20" s="1189" customFormat="1" ht="22.5">
      <c r="A205" s="1214">
        <v>96</v>
      </c>
      <c r="B205" s="1380">
        <v>3</v>
      </c>
      <c r="C205" s="1381" t="s">
        <v>2829</v>
      </c>
      <c r="D205" s="1383" t="s">
        <v>539</v>
      </c>
      <c r="E205" s="1383" t="s">
        <v>47</v>
      </c>
      <c r="F205" s="1383">
        <v>10</v>
      </c>
      <c r="G205" s="1384">
        <v>24500000</v>
      </c>
      <c r="H205" s="1385">
        <f>F205*G205</f>
        <v>245000000</v>
      </c>
      <c r="I205" s="1386" t="s">
        <v>1955</v>
      </c>
      <c r="J205" s="1387" t="s">
        <v>2830</v>
      </c>
      <c r="K205" s="1383">
        <v>6</v>
      </c>
      <c r="L205" s="1194" t="s">
        <v>1949</v>
      </c>
      <c r="M205" s="1289"/>
      <c r="N205" s="1289"/>
      <c r="O205" s="1289"/>
      <c r="P205" s="1289"/>
    </row>
    <row r="206" spans="1:20" s="1189" customFormat="1" ht="11.25">
      <c r="A206" s="1200"/>
      <c r="B206" s="1200"/>
      <c r="C206" s="1179" t="s">
        <v>2622</v>
      </c>
      <c r="D206" s="1179"/>
      <c r="E206" s="1179"/>
      <c r="F206" s="1200"/>
      <c r="G206" s="1218"/>
      <c r="H206" s="1218">
        <f>SUM(H203:H205)</f>
        <v>350000000</v>
      </c>
      <c r="I206" s="1219"/>
      <c r="J206" s="1179"/>
      <c r="K206" s="1220"/>
      <c r="L206" s="1201"/>
      <c r="M206" s="1289"/>
      <c r="N206" s="1289"/>
      <c r="O206" s="1289"/>
      <c r="P206" s="1289"/>
    </row>
    <row r="207" spans="1:20" s="1189" customFormat="1" ht="11.25">
      <c r="A207" s="1200"/>
      <c r="B207" s="1200"/>
      <c r="C207" s="2188" t="e">
        <f ca="1">[1]!vnd(H206,TRUE)</f>
        <v>#NAME?</v>
      </c>
      <c r="D207" s="2188"/>
      <c r="E207" s="2188"/>
      <c r="F207" s="2188"/>
      <c r="G207" s="2188"/>
      <c r="H207" s="1218"/>
      <c r="I207" s="1219"/>
      <c r="J207" s="1179"/>
      <c r="K207" s="1220"/>
      <c r="L207" s="1201"/>
      <c r="M207" s="1289"/>
      <c r="N207" s="1289"/>
      <c r="O207" s="1289"/>
      <c r="P207" s="1289"/>
    </row>
    <row r="208" spans="1:20" s="1211" customFormat="1" ht="27.6" customHeight="1">
      <c r="A208" s="1225"/>
      <c r="B208" s="1225"/>
      <c r="C208" s="1226"/>
      <c r="D208" s="1226"/>
      <c r="E208" s="1226"/>
      <c r="F208" s="1225"/>
      <c r="G208" s="1246"/>
      <c r="H208" s="1246"/>
      <c r="I208" s="1247"/>
      <c r="J208" s="1226"/>
      <c r="K208" s="1227"/>
      <c r="L208" s="1228"/>
      <c r="M208" s="1290"/>
      <c r="N208" s="1290"/>
      <c r="O208" s="1290"/>
      <c r="P208" s="1290"/>
    </row>
    <row r="209" spans="1:20" s="1211" customFormat="1" ht="27.6" customHeight="1">
      <c r="A209" s="1229"/>
      <c r="B209" s="1388"/>
      <c r="C209" s="1389"/>
      <c r="D209" s="1390"/>
      <c r="E209" s="1390"/>
      <c r="F209" s="1390"/>
      <c r="G209" s="1391"/>
      <c r="H209" s="1392"/>
      <c r="I209" s="1393"/>
      <c r="J209" s="1394"/>
      <c r="K209" s="1390"/>
      <c r="L209" s="1210"/>
      <c r="M209" s="1290"/>
      <c r="N209" s="1290"/>
      <c r="O209" s="1290"/>
      <c r="P209" s="1290"/>
    </row>
    <row r="210" spans="1:20" s="1189" customFormat="1" ht="42">
      <c r="A210" s="1179" t="s">
        <v>2605</v>
      </c>
      <c r="B210" s="1179" t="s">
        <v>2606</v>
      </c>
      <c r="C210" s="1179" t="s">
        <v>2607</v>
      </c>
      <c r="D210" s="1179" t="s">
        <v>2608</v>
      </c>
      <c r="E210" s="1179" t="s">
        <v>2609</v>
      </c>
      <c r="F210" s="1179" t="s">
        <v>2610</v>
      </c>
      <c r="G210" s="1180" t="s">
        <v>2611</v>
      </c>
      <c r="H210" s="1180" t="s">
        <v>2612</v>
      </c>
      <c r="I210" s="1181" t="s">
        <v>2613</v>
      </c>
      <c r="J210" s="1182" t="s">
        <v>2614</v>
      </c>
      <c r="K210" s="1179" t="s">
        <v>2615</v>
      </c>
      <c r="L210" s="1179" t="s">
        <v>2616</v>
      </c>
      <c r="M210" s="1189">
        <v>21</v>
      </c>
    </row>
    <row r="211" spans="1:20" s="1189" customFormat="1" ht="89.45" customHeight="1">
      <c r="A211" s="1395">
        <v>24</v>
      </c>
      <c r="B211" s="1395">
        <v>1</v>
      </c>
      <c r="C211" s="1396" t="s">
        <v>2831</v>
      </c>
      <c r="D211" s="1397" t="s">
        <v>1424</v>
      </c>
      <c r="E211" s="1397" t="s">
        <v>22</v>
      </c>
      <c r="F211" s="1395">
        <v>30</v>
      </c>
      <c r="G211" s="1398">
        <v>25500000</v>
      </c>
      <c r="H211" s="1399">
        <f t="shared" ref="H211:H224" si="5">F211*G211</f>
        <v>765000000</v>
      </c>
      <c r="I211" s="1400" t="s">
        <v>2832</v>
      </c>
      <c r="J211" s="1401" t="s">
        <v>2833</v>
      </c>
      <c r="K211" s="1402" t="s">
        <v>1416</v>
      </c>
      <c r="L211" s="1191" t="s">
        <v>1406</v>
      </c>
    </row>
    <row r="212" spans="1:20" s="1189" customFormat="1" ht="89.45" customHeight="1">
      <c r="A212" s="1395">
        <v>25</v>
      </c>
      <c r="B212" s="1395">
        <v>2</v>
      </c>
      <c r="C212" s="1396" t="s">
        <v>2834</v>
      </c>
      <c r="D212" s="1397" t="s">
        <v>1424</v>
      </c>
      <c r="E212" s="1397" t="s">
        <v>22</v>
      </c>
      <c r="F212" s="1403">
        <v>5</v>
      </c>
      <c r="G212" s="1398">
        <v>31000000</v>
      </c>
      <c r="H212" s="1399">
        <f t="shared" si="5"/>
        <v>155000000</v>
      </c>
      <c r="I212" s="1400" t="s">
        <v>2832</v>
      </c>
      <c r="J212" s="1401" t="s">
        <v>2835</v>
      </c>
      <c r="K212" s="1402" t="s">
        <v>1416</v>
      </c>
      <c r="L212" s="1191" t="s">
        <v>1406</v>
      </c>
    </row>
    <row r="213" spans="1:20" s="1189" customFormat="1" ht="89.45" customHeight="1">
      <c r="A213" s="1395">
        <v>26</v>
      </c>
      <c r="B213" s="1395">
        <v>3</v>
      </c>
      <c r="C213" s="1396" t="s">
        <v>2836</v>
      </c>
      <c r="D213" s="1397" t="s">
        <v>1424</v>
      </c>
      <c r="E213" s="1397" t="s">
        <v>22</v>
      </c>
      <c r="F213" s="1403">
        <v>2</v>
      </c>
      <c r="G213" s="1398">
        <v>9500000</v>
      </c>
      <c r="H213" s="1399">
        <f t="shared" si="5"/>
        <v>19000000</v>
      </c>
      <c r="I213" s="1400" t="s">
        <v>2837</v>
      </c>
      <c r="J213" s="1401" t="s">
        <v>2838</v>
      </c>
      <c r="K213" s="1402" t="s">
        <v>2839</v>
      </c>
      <c r="L213" s="1191" t="s">
        <v>1406</v>
      </c>
    </row>
    <row r="214" spans="1:20" s="1189" customFormat="1" ht="89.45" customHeight="1">
      <c r="A214" s="1395">
        <v>27</v>
      </c>
      <c r="B214" s="1395">
        <v>4</v>
      </c>
      <c r="C214" s="1396" t="s">
        <v>2840</v>
      </c>
      <c r="D214" s="1397" t="s">
        <v>1424</v>
      </c>
      <c r="E214" s="1397" t="s">
        <v>22</v>
      </c>
      <c r="F214" s="1403">
        <v>10</v>
      </c>
      <c r="G214" s="1398">
        <v>46200000</v>
      </c>
      <c r="H214" s="1399">
        <f t="shared" si="5"/>
        <v>462000000</v>
      </c>
      <c r="I214" s="1400" t="s">
        <v>2841</v>
      </c>
      <c r="J214" s="1401" t="s">
        <v>2842</v>
      </c>
      <c r="K214" s="1402" t="s">
        <v>1416</v>
      </c>
      <c r="L214" s="1191" t="s">
        <v>1406</v>
      </c>
    </row>
    <row r="215" spans="1:20" s="1189" customFormat="1" ht="89.45" customHeight="1">
      <c r="A215" s="1395">
        <v>28</v>
      </c>
      <c r="B215" s="1395">
        <v>5</v>
      </c>
      <c r="C215" s="1396" t="s">
        <v>2843</v>
      </c>
      <c r="D215" s="1397" t="s">
        <v>1424</v>
      </c>
      <c r="E215" s="1397" t="s">
        <v>22</v>
      </c>
      <c r="F215" s="1403">
        <v>25</v>
      </c>
      <c r="G215" s="1398">
        <v>58500000</v>
      </c>
      <c r="H215" s="1399">
        <f t="shared" si="5"/>
        <v>1462500000</v>
      </c>
      <c r="I215" s="1400" t="s">
        <v>2841</v>
      </c>
      <c r="J215" s="1401" t="s">
        <v>2844</v>
      </c>
      <c r="K215" s="1402" t="s">
        <v>1416</v>
      </c>
      <c r="L215" s="1191" t="s">
        <v>1406</v>
      </c>
    </row>
    <row r="216" spans="1:20" s="1189" customFormat="1" ht="58.9" customHeight="1">
      <c r="A216" s="1395">
        <v>29</v>
      </c>
      <c r="B216" s="1395">
        <v>6</v>
      </c>
      <c r="C216" s="1396" t="s">
        <v>2845</v>
      </c>
      <c r="D216" s="1397" t="s">
        <v>1424</v>
      </c>
      <c r="E216" s="1397" t="s">
        <v>22</v>
      </c>
      <c r="F216" s="1403">
        <v>10</v>
      </c>
      <c r="G216" s="1398">
        <v>88000000</v>
      </c>
      <c r="H216" s="1399">
        <f t="shared" si="5"/>
        <v>880000000</v>
      </c>
      <c r="I216" s="1400" t="s">
        <v>2841</v>
      </c>
      <c r="J216" s="1401" t="s">
        <v>2846</v>
      </c>
      <c r="K216" s="1402" t="s">
        <v>1416</v>
      </c>
      <c r="L216" s="1191" t="s">
        <v>1406</v>
      </c>
    </row>
    <row r="217" spans="1:20" s="1189" customFormat="1" ht="56.25">
      <c r="A217" s="1395">
        <v>30</v>
      </c>
      <c r="B217" s="1395">
        <v>7</v>
      </c>
      <c r="C217" s="1396" t="s">
        <v>2847</v>
      </c>
      <c r="D217" s="1397" t="s">
        <v>1424</v>
      </c>
      <c r="E217" s="1397" t="s">
        <v>22</v>
      </c>
      <c r="F217" s="1403">
        <v>5</v>
      </c>
      <c r="G217" s="1398">
        <v>98000000</v>
      </c>
      <c r="H217" s="1399">
        <f t="shared" si="5"/>
        <v>490000000</v>
      </c>
      <c r="I217" s="1400" t="s">
        <v>2841</v>
      </c>
      <c r="J217" s="1401" t="s">
        <v>2848</v>
      </c>
      <c r="K217" s="1402" t="s">
        <v>1416</v>
      </c>
      <c r="L217" s="1191" t="s">
        <v>1406</v>
      </c>
    </row>
    <row r="218" spans="1:20" s="1241" customFormat="1" ht="112.5">
      <c r="A218" s="1395">
        <v>31</v>
      </c>
      <c r="B218" s="1395">
        <v>8</v>
      </c>
      <c r="C218" s="1396" t="s">
        <v>2849</v>
      </c>
      <c r="D218" s="1397" t="s">
        <v>2850</v>
      </c>
      <c r="E218" s="1397" t="s">
        <v>1795</v>
      </c>
      <c r="F218" s="1403">
        <v>40</v>
      </c>
      <c r="G218" s="1398">
        <v>12660000</v>
      </c>
      <c r="H218" s="1399">
        <f t="shared" si="5"/>
        <v>506400000</v>
      </c>
      <c r="I218" s="1400" t="s">
        <v>2851</v>
      </c>
      <c r="J218" s="1401" t="s">
        <v>2852</v>
      </c>
      <c r="K218" s="1402" t="s">
        <v>2839</v>
      </c>
      <c r="L218" s="1191" t="s">
        <v>1406</v>
      </c>
      <c r="M218" s="1189"/>
      <c r="N218" s="1189"/>
      <c r="O218" s="1189"/>
      <c r="P218" s="1189"/>
      <c r="Q218" s="1189"/>
      <c r="R218" s="1189"/>
      <c r="S218" s="1189"/>
      <c r="T218" s="1189"/>
    </row>
    <row r="219" spans="1:20" s="1189" customFormat="1" ht="89.45" customHeight="1">
      <c r="A219" s="1395">
        <v>32</v>
      </c>
      <c r="B219" s="1395">
        <v>9</v>
      </c>
      <c r="C219" s="1396" t="s">
        <v>2853</v>
      </c>
      <c r="D219" s="1397" t="s">
        <v>1424</v>
      </c>
      <c r="E219" s="1397" t="s">
        <v>22</v>
      </c>
      <c r="F219" s="1403">
        <v>10</v>
      </c>
      <c r="G219" s="1398">
        <v>26900000</v>
      </c>
      <c r="H219" s="1399">
        <f t="shared" si="5"/>
        <v>269000000</v>
      </c>
      <c r="I219" s="1400" t="s">
        <v>2854</v>
      </c>
      <c r="J219" s="1401" t="s">
        <v>2855</v>
      </c>
      <c r="K219" s="1402" t="s">
        <v>1416</v>
      </c>
      <c r="L219" s="1191" t="s">
        <v>1406</v>
      </c>
    </row>
    <row r="220" spans="1:20" s="1189" customFormat="1" ht="89.45" customHeight="1">
      <c r="A220" s="1395">
        <v>33</v>
      </c>
      <c r="B220" s="1395">
        <v>10</v>
      </c>
      <c r="C220" s="1396" t="s">
        <v>2856</v>
      </c>
      <c r="D220" s="1400" t="s">
        <v>1424</v>
      </c>
      <c r="E220" s="1403" t="s">
        <v>22</v>
      </c>
      <c r="F220" s="1403">
        <v>50</v>
      </c>
      <c r="G220" s="1398">
        <v>25500000</v>
      </c>
      <c r="H220" s="1399">
        <f t="shared" si="5"/>
        <v>1275000000</v>
      </c>
      <c r="I220" s="1400" t="s">
        <v>1464</v>
      </c>
      <c r="J220" s="1401" t="s">
        <v>2857</v>
      </c>
      <c r="K220" s="1402" t="s">
        <v>1416</v>
      </c>
      <c r="L220" s="1191" t="s">
        <v>1406</v>
      </c>
      <c r="M220" s="1404"/>
      <c r="N220" s="1404"/>
      <c r="O220" s="1404"/>
      <c r="P220" s="1404"/>
    </row>
    <row r="221" spans="1:20" s="1189" customFormat="1" ht="89.45" customHeight="1">
      <c r="A221" s="1395">
        <v>34</v>
      </c>
      <c r="B221" s="1395">
        <v>11</v>
      </c>
      <c r="C221" s="1396" t="s">
        <v>2858</v>
      </c>
      <c r="D221" s="1400" t="s">
        <v>1424</v>
      </c>
      <c r="E221" s="1403" t="s">
        <v>22</v>
      </c>
      <c r="F221" s="1403">
        <v>15</v>
      </c>
      <c r="G221" s="1398">
        <v>35000000</v>
      </c>
      <c r="H221" s="1399">
        <f t="shared" si="5"/>
        <v>525000000</v>
      </c>
      <c r="I221" s="1400" t="s">
        <v>2854</v>
      </c>
      <c r="J221" s="1401" t="s">
        <v>2859</v>
      </c>
      <c r="K221" s="1402" t="s">
        <v>1416</v>
      </c>
      <c r="L221" s="1191" t="s">
        <v>1406</v>
      </c>
    </row>
    <row r="222" spans="1:20" s="1189" customFormat="1" ht="89.45" customHeight="1">
      <c r="A222" s="1395">
        <v>35</v>
      </c>
      <c r="B222" s="1395">
        <v>12</v>
      </c>
      <c r="C222" s="1396" t="s">
        <v>2860</v>
      </c>
      <c r="D222" s="1400" t="s">
        <v>1424</v>
      </c>
      <c r="E222" s="1403" t="s">
        <v>22</v>
      </c>
      <c r="F222" s="1403">
        <v>20</v>
      </c>
      <c r="G222" s="1398">
        <v>35000000</v>
      </c>
      <c r="H222" s="1399">
        <f t="shared" si="5"/>
        <v>700000000</v>
      </c>
      <c r="I222" s="1400" t="s">
        <v>2316</v>
      </c>
      <c r="J222" s="1401" t="s">
        <v>2861</v>
      </c>
      <c r="K222" s="1402" t="s">
        <v>1416</v>
      </c>
      <c r="L222" s="1191" t="s">
        <v>1406</v>
      </c>
    </row>
    <row r="223" spans="1:20" s="1189" customFormat="1" ht="89.45" customHeight="1">
      <c r="A223" s="1395">
        <v>36</v>
      </c>
      <c r="B223" s="1395">
        <v>13</v>
      </c>
      <c r="C223" s="1396" t="s">
        <v>2862</v>
      </c>
      <c r="D223" s="1400" t="s">
        <v>1424</v>
      </c>
      <c r="E223" s="1403" t="s">
        <v>22</v>
      </c>
      <c r="F223" s="1403">
        <v>20</v>
      </c>
      <c r="G223" s="1398">
        <v>35000000</v>
      </c>
      <c r="H223" s="1399">
        <f t="shared" si="5"/>
        <v>700000000</v>
      </c>
      <c r="I223" s="1400" t="s">
        <v>1444</v>
      </c>
      <c r="J223" s="1401" t="s">
        <v>2863</v>
      </c>
      <c r="K223" s="1402" t="s">
        <v>1416</v>
      </c>
      <c r="L223" s="1191" t="s">
        <v>1406</v>
      </c>
    </row>
    <row r="224" spans="1:20" s="1189" customFormat="1" ht="89.45" customHeight="1">
      <c r="A224" s="1395">
        <v>37</v>
      </c>
      <c r="B224" s="1395">
        <v>14</v>
      </c>
      <c r="C224" s="1396" t="s">
        <v>2864</v>
      </c>
      <c r="D224" s="1400" t="s">
        <v>1424</v>
      </c>
      <c r="E224" s="1403" t="s">
        <v>22</v>
      </c>
      <c r="F224" s="1403">
        <v>50</v>
      </c>
      <c r="G224" s="1398">
        <v>44500000</v>
      </c>
      <c r="H224" s="1399">
        <f t="shared" si="5"/>
        <v>2225000000</v>
      </c>
      <c r="I224" s="1400" t="s">
        <v>1444</v>
      </c>
      <c r="J224" s="1401" t="s">
        <v>2865</v>
      </c>
      <c r="K224" s="1402" t="s">
        <v>1416</v>
      </c>
      <c r="L224" s="1191" t="s">
        <v>1406</v>
      </c>
    </row>
    <row r="225" spans="1:20" s="1189" customFormat="1" ht="23.45" customHeight="1">
      <c r="A225" s="1200"/>
      <c r="B225" s="1200"/>
      <c r="C225" s="1179" t="s">
        <v>2622</v>
      </c>
      <c r="D225" s="1179"/>
      <c r="E225" s="1179"/>
      <c r="F225" s="1200"/>
      <c r="G225" s="1218"/>
      <c r="H225" s="1218">
        <f>SUM(H211:H224)</f>
        <v>10433900000</v>
      </c>
      <c r="I225" s="1219"/>
      <c r="J225" s="1179"/>
      <c r="K225" s="1220"/>
      <c r="L225" s="1201"/>
    </row>
    <row r="226" spans="1:20" s="1189" customFormat="1" ht="33.6" customHeight="1">
      <c r="A226" s="1200"/>
      <c r="B226" s="1200"/>
      <c r="C226" s="2188"/>
      <c r="D226" s="2188"/>
      <c r="E226" s="2188"/>
      <c r="F226" s="2188"/>
      <c r="G226" s="2188"/>
      <c r="H226" s="2188"/>
      <c r="I226" s="1219"/>
      <c r="J226" s="1179"/>
      <c r="K226" s="1220"/>
      <c r="L226" s="1201"/>
    </row>
    <row r="227" spans="1:20" s="1211" customFormat="1" ht="33.6" customHeight="1">
      <c r="A227" s="1225"/>
      <c r="B227" s="1225"/>
      <c r="C227" s="1226"/>
      <c r="D227" s="1226"/>
      <c r="E227" s="1226"/>
      <c r="F227" s="1225"/>
      <c r="G227" s="1246"/>
      <c r="H227" s="1246"/>
      <c r="I227" s="1247"/>
      <c r="J227" s="1226"/>
      <c r="K227" s="1227"/>
      <c r="L227" s="1228"/>
    </row>
    <row r="228" spans="1:20" s="1211" customFormat="1" ht="33.6" customHeight="1">
      <c r="A228" s="1225"/>
      <c r="B228" s="1225"/>
      <c r="C228" s="1226"/>
      <c r="D228" s="1226"/>
      <c r="E228" s="1226"/>
      <c r="F228" s="1225"/>
      <c r="G228" s="1246"/>
      <c r="H228" s="1246"/>
      <c r="I228" s="1247"/>
      <c r="J228" s="1226"/>
      <c r="K228" s="1227"/>
      <c r="L228" s="1228"/>
    </row>
    <row r="229" spans="1:20" s="1211" customFormat="1" ht="11.25">
      <c r="A229" s="1405"/>
      <c r="B229" s="1405"/>
      <c r="C229" s="1406"/>
      <c r="D229" s="1407"/>
      <c r="E229" s="1408"/>
      <c r="F229" s="1408"/>
      <c r="G229" s="1409"/>
      <c r="H229" s="1410"/>
      <c r="I229" s="1407"/>
      <c r="J229" s="1411"/>
      <c r="K229" s="1412"/>
      <c r="L229" s="1212"/>
    </row>
    <row r="230" spans="1:20" s="1189" customFormat="1" ht="42">
      <c r="A230" s="1179" t="s">
        <v>2605</v>
      </c>
      <c r="B230" s="1179" t="s">
        <v>2606</v>
      </c>
      <c r="C230" s="1179" t="s">
        <v>2607</v>
      </c>
      <c r="D230" s="1179" t="s">
        <v>2608</v>
      </c>
      <c r="E230" s="1179" t="s">
        <v>2609</v>
      </c>
      <c r="F230" s="1179" t="s">
        <v>2610</v>
      </c>
      <c r="G230" s="1180" t="s">
        <v>2611</v>
      </c>
      <c r="H230" s="1180" t="s">
        <v>2612</v>
      </c>
      <c r="I230" s="1181" t="s">
        <v>2613</v>
      </c>
      <c r="J230" s="1182" t="s">
        <v>2614</v>
      </c>
      <c r="K230" s="1179" t="s">
        <v>2615</v>
      </c>
      <c r="L230" s="1179" t="s">
        <v>2616</v>
      </c>
      <c r="M230" s="1189">
        <v>22</v>
      </c>
      <c r="Q230" s="1216"/>
      <c r="R230" s="1216"/>
      <c r="S230" s="1216"/>
      <c r="T230" s="1216"/>
    </row>
    <row r="231" spans="1:20" s="1189" customFormat="1" ht="33.75">
      <c r="A231" s="1214">
        <v>72</v>
      </c>
      <c r="B231" s="1214">
        <v>1</v>
      </c>
      <c r="C231" s="1194" t="s">
        <v>2866</v>
      </c>
      <c r="D231" s="1268" t="s">
        <v>1542</v>
      </c>
      <c r="E231" s="1214" t="s">
        <v>47</v>
      </c>
      <c r="F231" s="1214">
        <v>70</v>
      </c>
      <c r="G231" s="1335">
        <v>6500000</v>
      </c>
      <c r="H231" s="1215">
        <f>F231*G231</f>
        <v>455000000</v>
      </c>
      <c r="I231" s="1214" t="s">
        <v>2673</v>
      </c>
      <c r="J231" s="1214"/>
      <c r="K231" s="1269">
        <v>4</v>
      </c>
      <c r="L231" s="1194" t="s">
        <v>2867</v>
      </c>
    </row>
    <row r="232" spans="1:20" s="1189" customFormat="1" ht="45">
      <c r="A232" s="1258">
        <v>118</v>
      </c>
      <c r="B232" s="1258">
        <v>2</v>
      </c>
      <c r="C232" s="1194" t="s">
        <v>2868</v>
      </c>
      <c r="D232" s="1214" t="s">
        <v>2869</v>
      </c>
      <c r="E232" s="1258" t="s">
        <v>47</v>
      </c>
      <c r="F232" s="1258">
        <v>10</v>
      </c>
      <c r="G232" s="1335">
        <v>16000000</v>
      </c>
      <c r="H232" s="1413">
        <f>G232*F232</f>
        <v>160000000</v>
      </c>
      <c r="I232" s="1214" t="s">
        <v>2870</v>
      </c>
      <c r="J232" s="1214" t="s">
        <v>2871</v>
      </c>
      <c r="K232" s="1258">
        <v>3</v>
      </c>
      <c r="L232" s="1194" t="s">
        <v>2867</v>
      </c>
    </row>
    <row r="233" spans="1:20" s="1189" customFormat="1" ht="45">
      <c r="A233" s="1258">
        <v>119</v>
      </c>
      <c r="B233" s="1258">
        <v>3</v>
      </c>
      <c r="C233" s="1194" t="s">
        <v>2872</v>
      </c>
      <c r="D233" s="1214" t="s">
        <v>2869</v>
      </c>
      <c r="E233" s="1258" t="s">
        <v>47</v>
      </c>
      <c r="F233" s="1258">
        <v>40</v>
      </c>
      <c r="G233" s="1335">
        <v>36800000</v>
      </c>
      <c r="H233" s="1413">
        <f>G233*F233</f>
        <v>1472000000</v>
      </c>
      <c r="I233" s="1214" t="s">
        <v>2870</v>
      </c>
      <c r="J233" s="1214" t="s">
        <v>2873</v>
      </c>
      <c r="K233" s="1258">
        <v>3</v>
      </c>
      <c r="L233" s="1194" t="s">
        <v>2867</v>
      </c>
    </row>
    <row r="234" spans="1:20" s="1189" customFormat="1" ht="11.25">
      <c r="A234" s="1200"/>
      <c r="B234" s="1200"/>
      <c r="C234" s="1179" t="s">
        <v>2622</v>
      </c>
      <c r="D234" s="1179"/>
      <c r="E234" s="1179"/>
      <c r="F234" s="1200"/>
      <c r="G234" s="1218"/>
      <c r="H234" s="1218">
        <f>SUM(H231:H233)</f>
        <v>2087000000</v>
      </c>
      <c r="I234" s="1219"/>
      <c r="J234" s="1179"/>
      <c r="K234" s="1220"/>
      <c r="L234" s="1201"/>
    </row>
    <row r="235" spans="1:20" s="1189" customFormat="1" ht="11.25">
      <c r="A235" s="1200"/>
      <c r="B235" s="1200"/>
      <c r="C235" s="2188" t="e">
        <f ca="1">[1]!vnd(H234,TRUE)</f>
        <v>#NAME?</v>
      </c>
      <c r="D235" s="2188"/>
      <c r="E235" s="2188"/>
      <c r="F235" s="2188"/>
      <c r="G235" s="2188"/>
      <c r="H235" s="1218"/>
      <c r="I235" s="1219"/>
      <c r="J235" s="1179"/>
      <c r="K235" s="1220"/>
      <c r="L235" s="1201"/>
    </row>
    <row r="236" spans="1:20" s="1211" customFormat="1" ht="11.25">
      <c r="A236" s="1225"/>
      <c r="B236" s="1225"/>
      <c r="C236" s="1226"/>
      <c r="D236" s="1226"/>
      <c r="E236" s="1226"/>
      <c r="F236" s="1225"/>
      <c r="G236" s="1246"/>
      <c r="H236" s="1246"/>
      <c r="I236" s="1247"/>
      <c r="J236" s="1226"/>
      <c r="K236" s="1227"/>
      <c r="L236" s="1228"/>
    </row>
    <row r="237" spans="1:20" s="1211" customFormat="1" ht="11.25">
      <c r="A237" s="1225"/>
      <c r="B237" s="1225"/>
      <c r="C237" s="1226"/>
      <c r="D237" s="1226"/>
      <c r="E237" s="1226"/>
      <c r="F237" s="1225"/>
      <c r="G237" s="1246"/>
      <c r="H237" s="1246"/>
      <c r="I237" s="1247"/>
      <c r="J237" s="1226"/>
      <c r="K237" s="1227"/>
      <c r="L237" s="1228"/>
    </row>
    <row r="238" spans="1:20" s="1211" customFormat="1" ht="11.25">
      <c r="A238" s="1336"/>
      <c r="B238" s="1336"/>
      <c r="C238" s="1210"/>
      <c r="D238" s="1229"/>
      <c r="E238" s="1336"/>
      <c r="F238" s="1336"/>
      <c r="G238" s="1338"/>
      <c r="H238" s="1414"/>
      <c r="I238" s="1229"/>
      <c r="J238" s="1229"/>
      <c r="K238" s="1336"/>
      <c r="L238" s="1210"/>
    </row>
    <row r="239" spans="1:20" s="1211" customFormat="1" ht="11.25">
      <c r="A239" s="1336"/>
      <c r="B239" s="1336"/>
      <c r="C239" s="1210"/>
      <c r="D239" s="1229"/>
      <c r="E239" s="1336"/>
      <c r="F239" s="1336"/>
      <c r="G239" s="1338"/>
      <c r="H239" s="1414"/>
      <c r="I239" s="1229"/>
      <c r="J239" s="1229"/>
      <c r="K239" s="1336"/>
      <c r="L239" s="1210"/>
    </row>
    <row r="240" spans="1:20" s="1211" customFormat="1" ht="11.25">
      <c r="A240" s="1336"/>
      <c r="B240" s="1336"/>
      <c r="C240" s="1210"/>
      <c r="D240" s="1229"/>
      <c r="E240" s="1336"/>
      <c r="F240" s="1336"/>
      <c r="G240" s="1338"/>
      <c r="H240" s="1414"/>
      <c r="I240" s="1229"/>
      <c r="J240" s="1229"/>
      <c r="K240" s="1336"/>
      <c r="L240" s="1210"/>
    </row>
    <row r="241" spans="1:20" s="1189" customFormat="1" ht="42">
      <c r="A241" s="1179" t="s">
        <v>2605</v>
      </c>
      <c r="B241" s="1179" t="s">
        <v>2606</v>
      </c>
      <c r="C241" s="1179" t="s">
        <v>2607</v>
      </c>
      <c r="D241" s="1179" t="s">
        <v>2608</v>
      </c>
      <c r="E241" s="1179" t="s">
        <v>2609</v>
      </c>
      <c r="F241" s="1179" t="s">
        <v>2610</v>
      </c>
      <c r="G241" s="1180" t="s">
        <v>2611</v>
      </c>
      <c r="H241" s="1180" t="s">
        <v>2612</v>
      </c>
      <c r="I241" s="1181" t="s">
        <v>2613</v>
      </c>
      <c r="J241" s="1182" t="s">
        <v>2614</v>
      </c>
      <c r="K241" s="1179" t="s">
        <v>2615</v>
      </c>
      <c r="L241" s="1179" t="s">
        <v>2616</v>
      </c>
      <c r="M241" s="1189">
        <v>23</v>
      </c>
      <c r="Q241" s="1277"/>
      <c r="R241" s="1277"/>
      <c r="S241" s="1277"/>
      <c r="T241" s="1277"/>
    </row>
    <row r="242" spans="1:20" s="1189" customFormat="1" ht="90">
      <c r="A242" s="1214">
        <v>41</v>
      </c>
      <c r="B242" s="1214">
        <v>1</v>
      </c>
      <c r="C242" s="1194" t="s">
        <v>2874</v>
      </c>
      <c r="D242" s="1214" t="s">
        <v>1542</v>
      </c>
      <c r="E242" s="1214" t="s">
        <v>47</v>
      </c>
      <c r="F242" s="1214">
        <v>2</v>
      </c>
      <c r="G242" s="1193">
        <v>22000000</v>
      </c>
      <c r="H242" s="1259">
        <f t="shared" ref="H242:H247" si="6">F242*G242</f>
        <v>44000000</v>
      </c>
      <c r="I242" s="1214" t="s">
        <v>2875</v>
      </c>
      <c r="J242" s="1253" t="s">
        <v>2876</v>
      </c>
      <c r="K242" s="1214" t="s">
        <v>2877</v>
      </c>
      <c r="L242" s="1194" t="s">
        <v>2878</v>
      </c>
    </row>
    <row r="243" spans="1:20" s="1189" customFormat="1" ht="90">
      <c r="A243" s="1214">
        <v>62</v>
      </c>
      <c r="B243" s="1214">
        <v>3</v>
      </c>
      <c r="C243" s="1194" t="s">
        <v>2879</v>
      </c>
      <c r="D243" s="1214" t="s">
        <v>1542</v>
      </c>
      <c r="E243" s="1214" t="s">
        <v>47</v>
      </c>
      <c r="F243" s="1214">
        <v>3</v>
      </c>
      <c r="G243" s="1193">
        <v>3500000</v>
      </c>
      <c r="H243" s="1259">
        <f t="shared" si="6"/>
        <v>10500000</v>
      </c>
      <c r="I243" s="1214" t="s">
        <v>2875</v>
      </c>
      <c r="J243" s="1253" t="s">
        <v>2880</v>
      </c>
      <c r="K243" s="1214" t="s">
        <v>2877</v>
      </c>
      <c r="L243" s="1194" t="s">
        <v>2878</v>
      </c>
    </row>
    <row r="244" spans="1:20" s="1189" customFormat="1" ht="90">
      <c r="A244" s="1214">
        <v>67</v>
      </c>
      <c r="B244" s="1214">
        <v>4</v>
      </c>
      <c r="C244" s="1194" t="s">
        <v>2881</v>
      </c>
      <c r="D244" s="1214" t="s">
        <v>1542</v>
      </c>
      <c r="E244" s="1214" t="s">
        <v>47</v>
      </c>
      <c r="F244" s="1214">
        <v>50</v>
      </c>
      <c r="G244" s="1193">
        <v>5000000</v>
      </c>
      <c r="H244" s="1259">
        <f t="shared" si="6"/>
        <v>250000000</v>
      </c>
      <c r="I244" s="1214" t="s">
        <v>2875</v>
      </c>
      <c r="J244" s="1253" t="s">
        <v>2882</v>
      </c>
      <c r="K244" s="1214" t="s">
        <v>2877</v>
      </c>
      <c r="L244" s="1194" t="s">
        <v>2878</v>
      </c>
    </row>
    <row r="245" spans="1:20" s="1189" customFormat="1" ht="90">
      <c r="A245" s="1214">
        <v>68</v>
      </c>
      <c r="B245" s="1214">
        <v>5</v>
      </c>
      <c r="C245" s="1194" t="s">
        <v>2883</v>
      </c>
      <c r="D245" s="1214" t="s">
        <v>1542</v>
      </c>
      <c r="E245" s="1214" t="s">
        <v>47</v>
      </c>
      <c r="F245" s="1214">
        <v>5</v>
      </c>
      <c r="G245" s="1193">
        <v>5000000</v>
      </c>
      <c r="H245" s="1259">
        <f t="shared" si="6"/>
        <v>25000000</v>
      </c>
      <c r="I245" s="1214" t="s">
        <v>2875</v>
      </c>
      <c r="J245" s="1253" t="s">
        <v>2884</v>
      </c>
      <c r="K245" s="1214" t="s">
        <v>2877</v>
      </c>
      <c r="L245" s="1194" t="s">
        <v>2878</v>
      </c>
    </row>
    <row r="246" spans="1:20" s="1189" customFormat="1" ht="90">
      <c r="A246" s="1214">
        <v>120</v>
      </c>
      <c r="B246" s="1214">
        <v>6</v>
      </c>
      <c r="C246" s="1194" t="s">
        <v>2885</v>
      </c>
      <c r="D246" s="1214" t="s">
        <v>47</v>
      </c>
      <c r="E246" s="1214" t="s">
        <v>47</v>
      </c>
      <c r="F246" s="1214">
        <v>5</v>
      </c>
      <c r="G246" s="1193">
        <v>57500000</v>
      </c>
      <c r="H246" s="1259">
        <f t="shared" si="6"/>
        <v>287500000</v>
      </c>
      <c r="I246" s="1214" t="s">
        <v>2875</v>
      </c>
      <c r="J246" s="1253" t="s">
        <v>2886</v>
      </c>
      <c r="K246" s="1214" t="s">
        <v>2877</v>
      </c>
      <c r="L246" s="1194" t="s">
        <v>2878</v>
      </c>
    </row>
    <row r="247" spans="1:20" s="1189" customFormat="1" ht="90">
      <c r="A247" s="1214">
        <v>121</v>
      </c>
      <c r="B247" s="1214">
        <v>7</v>
      </c>
      <c r="C247" s="1194" t="s">
        <v>2887</v>
      </c>
      <c r="D247" s="1214" t="s">
        <v>47</v>
      </c>
      <c r="E247" s="1214" t="s">
        <v>47</v>
      </c>
      <c r="F247" s="1214">
        <v>15</v>
      </c>
      <c r="G247" s="1193">
        <v>44500000</v>
      </c>
      <c r="H247" s="1259">
        <f t="shared" si="6"/>
        <v>667500000</v>
      </c>
      <c r="I247" s="1214" t="s">
        <v>2875</v>
      </c>
      <c r="J247" s="1253" t="s">
        <v>2888</v>
      </c>
      <c r="K247" s="1214" t="s">
        <v>2877</v>
      </c>
      <c r="L247" s="1194" t="s">
        <v>2878</v>
      </c>
    </row>
    <row r="248" spans="1:20" s="1189" customFormat="1" ht="11.25">
      <c r="A248" s="1415"/>
      <c r="B248" s="1415"/>
      <c r="C248" s="1416" t="s">
        <v>2622</v>
      </c>
      <c r="D248" s="1416"/>
      <c r="E248" s="1416"/>
      <c r="F248" s="1415"/>
      <c r="G248" s="1417"/>
      <c r="H248" s="1417">
        <f>SUM(H242:H247)</f>
        <v>1284500000</v>
      </c>
      <c r="I248" s="1418"/>
      <c r="J248" s="1416"/>
      <c r="K248" s="1419"/>
      <c r="L248" s="1420"/>
    </row>
    <row r="249" spans="1:20" s="1189" customFormat="1" ht="19.899999999999999" customHeight="1">
      <c r="A249" s="1200"/>
      <c r="B249" s="1200"/>
      <c r="C249" s="2188" t="e">
        <f ca="1">[1]!vnd(H248,TRUE)</f>
        <v>#NAME?</v>
      </c>
      <c r="D249" s="2188"/>
      <c r="E249" s="2188"/>
      <c r="F249" s="2188"/>
      <c r="G249" s="2188"/>
      <c r="H249" s="1218"/>
      <c r="I249" s="1219"/>
      <c r="J249" s="1179"/>
      <c r="K249" s="1220"/>
      <c r="L249" s="1201"/>
    </row>
    <row r="250" spans="1:20" s="1211" customFormat="1" ht="14.45" customHeight="1">
      <c r="A250" s="1225"/>
      <c r="B250" s="1225"/>
      <c r="C250" s="1226"/>
      <c r="D250" s="1226"/>
      <c r="E250" s="1226"/>
      <c r="F250" s="1225"/>
      <c r="G250" s="1246"/>
      <c r="H250" s="1246"/>
      <c r="I250" s="1247"/>
      <c r="J250" s="1226"/>
      <c r="K250" s="1227"/>
      <c r="L250" s="1228"/>
    </row>
    <row r="251" spans="1:20" s="1211" customFormat="1" ht="11.25">
      <c r="A251" s="1225"/>
      <c r="B251" s="1225"/>
      <c r="C251" s="1226"/>
      <c r="D251" s="1226"/>
      <c r="E251" s="1226"/>
      <c r="F251" s="1225"/>
      <c r="G251" s="1246"/>
      <c r="H251" s="1246"/>
      <c r="I251" s="1247"/>
      <c r="J251" s="1226"/>
      <c r="K251" s="1227"/>
      <c r="L251" s="1228"/>
    </row>
    <row r="252" spans="1:20" s="1211" customFormat="1" ht="19.899999999999999" customHeight="1">
      <c r="A252" s="1229"/>
      <c r="B252" s="1229"/>
      <c r="C252" s="1210"/>
      <c r="D252" s="1229"/>
      <c r="E252" s="1229"/>
      <c r="F252" s="1229"/>
      <c r="G252" s="1213"/>
      <c r="H252" s="1421"/>
      <c r="I252" s="1229"/>
      <c r="J252" s="1256"/>
      <c r="K252" s="1229"/>
      <c r="L252" s="1210"/>
    </row>
    <row r="253" spans="1:20" s="1189" customFormat="1" ht="42">
      <c r="A253" s="1179" t="s">
        <v>2605</v>
      </c>
      <c r="B253" s="1179" t="s">
        <v>2606</v>
      </c>
      <c r="C253" s="1179" t="s">
        <v>2607</v>
      </c>
      <c r="D253" s="1179" t="s">
        <v>2608</v>
      </c>
      <c r="E253" s="1179" t="s">
        <v>2609</v>
      </c>
      <c r="F253" s="1179" t="s">
        <v>2610</v>
      </c>
      <c r="G253" s="1180" t="s">
        <v>2611</v>
      </c>
      <c r="H253" s="1180" t="s">
        <v>2612</v>
      </c>
      <c r="I253" s="1181" t="s">
        <v>2613</v>
      </c>
      <c r="J253" s="1182" t="s">
        <v>2614</v>
      </c>
      <c r="K253" s="1179" t="s">
        <v>2615</v>
      </c>
      <c r="L253" s="1179" t="s">
        <v>2616</v>
      </c>
      <c r="M253" s="1189">
        <v>24</v>
      </c>
    </row>
    <row r="254" spans="1:20" s="1189" customFormat="1" ht="33.75">
      <c r="A254" s="1258">
        <v>12</v>
      </c>
      <c r="B254" s="1274">
        <v>1</v>
      </c>
      <c r="C254" s="1194" t="s">
        <v>2889</v>
      </c>
      <c r="D254" s="1258" t="s">
        <v>192</v>
      </c>
      <c r="E254" s="1258" t="s">
        <v>192</v>
      </c>
      <c r="F254" s="1258">
        <v>1</v>
      </c>
      <c r="G254" s="1285">
        <v>42000000</v>
      </c>
      <c r="H254" s="1285">
        <f>F254*G254</f>
        <v>42000000</v>
      </c>
      <c r="I254" s="1214" t="s">
        <v>2890</v>
      </c>
      <c r="J254" s="1274"/>
      <c r="K254" s="1422"/>
      <c r="L254" s="1194" t="s">
        <v>2891</v>
      </c>
    </row>
    <row r="255" spans="1:20" s="1189" customFormat="1" ht="11.25">
      <c r="A255" s="1200"/>
      <c r="B255" s="1200"/>
      <c r="C255" s="1179" t="s">
        <v>2622</v>
      </c>
      <c r="D255" s="1179"/>
      <c r="E255" s="1179"/>
      <c r="F255" s="1200"/>
      <c r="G255" s="1218"/>
      <c r="H255" s="1218">
        <f>SUM(H252:H254)</f>
        <v>42000000</v>
      </c>
      <c r="I255" s="1219"/>
      <c r="J255" s="1179"/>
      <c r="K255" s="1220"/>
      <c r="L255" s="1201"/>
    </row>
    <row r="256" spans="1:20" s="1189" customFormat="1" ht="15.6" customHeight="1">
      <c r="A256" s="1200"/>
      <c r="B256" s="1200"/>
      <c r="C256" s="1179" t="e">
        <f ca="1">[1]!vnd(H255,TRUE)</f>
        <v>#NAME?</v>
      </c>
      <c r="D256" s="1179"/>
      <c r="E256" s="1179"/>
      <c r="F256" s="1200"/>
      <c r="G256" s="1218"/>
      <c r="H256" s="1218"/>
      <c r="I256" s="1219"/>
      <c r="J256" s="1179"/>
      <c r="K256" s="1220"/>
      <c r="L256" s="1201"/>
    </row>
    <row r="257" spans="1:13" s="1211" customFormat="1" ht="11.25">
      <c r="A257" s="1225"/>
      <c r="B257" s="1225"/>
      <c r="C257" s="1226"/>
      <c r="D257" s="1226"/>
      <c r="E257" s="1226"/>
      <c r="F257" s="1225"/>
      <c r="G257" s="1246"/>
      <c r="H257" s="1246"/>
      <c r="I257" s="1247"/>
      <c r="J257" s="1226"/>
      <c r="K257" s="1227"/>
      <c r="L257" s="1228"/>
    </row>
    <row r="258" spans="1:13" s="1211" customFormat="1" ht="11.25">
      <c r="A258" s="1225"/>
      <c r="B258" s="1225"/>
      <c r="C258" s="1226"/>
      <c r="D258" s="1226"/>
      <c r="E258" s="1226"/>
      <c r="F258" s="1225"/>
      <c r="G258" s="1246"/>
      <c r="H258" s="1246"/>
      <c r="I258" s="1247"/>
      <c r="J258" s="1226"/>
      <c r="K258" s="1227"/>
      <c r="L258" s="1228"/>
    </row>
    <row r="259" spans="1:13" s="1211" customFormat="1" ht="11.25">
      <c r="A259" s="1336"/>
      <c r="C259" s="1210"/>
      <c r="D259" s="1336"/>
      <c r="E259" s="1336"/>
      <c r="F259" s="1336"/>
      <c r="G259" s="1344"/>
      <c r="H259" s="1344"/>
      <c r="I259" s="1229"/>
      <c r="K259" s="1290"/>
      <c r="L259" s="1210"/>
    </row>
    <row r="260" spans="1:13" s="1211" customFormat="1" ht="11.25">
      <c r="A260" s="1336"/>
      <c r="C260" s="1210"/>
      <c r="D260" s="1336"/>
      <c r="E260" s="1336"/>
      <c r="F260" s="1336"/>
      <c r="G260" s="1344"/>
      <c r="H260" s="1344"/>
      <c r="I260" s="1229"/>
      <c r="K260" s="1290"/>
      <c r="L260" s="1210"/>
    </row>
    <row r="261" spans="1:13" s="1189" customFormat="1" ht="42">
      <c r="A261" s="1179" t="s">
        <v>2605</v>
      </c>
      <c r="B261" s="1179" t="s">
        <v>2606</v>
      </c>
      <c r="C261" s="1179" t="s">
        <v>2607</v>
      </c>
      <c r="D261" s="1179" t="s">
        <v>2608</v>
      </c>
      <c r="E261" s="1179" t="s">
        <v>2609</v>
      </c>
      <c r="F261" s="1179" t="s">
        <v>2610</v>
      </c>
      <c r="G261" s="1180" t="s">
        <v>2611</v>
      </c>
      <c r="H261" s="1180" t="s">
        <v>2612</v>
      </c>
      <c r="I261" s="1181" t="s">
        <v>2613</v>
      </c>
      <c r="J261" s="1182" t="s">
        <v>2614</v>
      </c>
      <c r="K261" s="1179" t="s">
        <v>2615</v>
      </c>
      <c r="L261" s="1179" t="s">
        <v>2616</v>
      </c>
      <c r="M261" s="1189">
        <v>25</v>
      </c>
    </row>
    <row r="262" spans="1:13" s="1189" customFormat="1" ht="78.75">
      <c r="A262" s="1258">
        <v>126</v>
      </c>
      <c r="B262" s="1214">
        <v>1</v>
      </c>
      <c r="C262" s="1194" t="s">
        <v>2892</v>
      </c>
      <c r="D262" s="1214" t="s">
        <v>2893</v>
      </c>
      <c r="E262" s="1214" t="s">
        <v>192</v>
      </c>
      <c r="F262" s="1258">
        <v>6</v>
      </c>
      <c r="G262" s="1423">
        <v>42500000</v>
      </c>
      <c r="H262" s="1424">
        <f>G262*F262</f>
        <v>255000000</v>
      </c>
      <c r="I262" s="1214" t="s">
        <v>2209</v>
      </c>
      <c r="J262" s="1258"/>
      <c r="K262" s="1214"/>
      <c r="L262" s="1194" t="s">
        <v>2212</v>
      </c>
    </row>
    <row r="263" spans="1:13" s="1189" customFormat="1" ht="78.75">
      <c r="A263" s="1425">
        <v>127</v>
      </c>
      <c r="B263" s="1426">
        <v>2</v>
      </c>
      <c r="C263" s="1427" t="s">
        <v>2894</v>
      </c>
      <c r="D263" s="1426" t="s">
        <v>2893</v>
      </c>
      <c r="E263" s="1426" t="s">
        <v>192</v>
      </c>
      <c r="F263" s="1425">
        <v>6</v>
      </c>
      <c r="G263" s="1428">
        <v>52500000</v>
      </c>
      <c r="H263" s="1429">
        <f>G263*F263</f>
        <v>315000000</v>
      </c>
      <c r="I263" s="1426" t="s">
        <v>2209</v>
      </c>
      <c r="J263" s="1426"/>
      <c r="K263" s="1426"/>
      <c r="L263" s="1427" t="s">
        <v>2212</v>
      </c>
    </row>
    <row r="264" spans="1:13" s="1436" customFormat="1" ht="10.5">
      <c r="A264" s="1430"/>
      <c r="B264" s="1430"/>
      <c r="C264" s="1431" t="s">
        <v>2895</v>
      </c>
      <c r="D264" s="1431"/>
      <c r="E264" s="1431"/>
      <c r="F264" s="1430"/>
      <c r="G264" s="1432"/>
      <c r="H264" s="1432">
        <f>SUM(H262:H263)</f>
        <v>570000000</v>
      </c>
      <c r="I264" s="1433"/>
      <c r="J264" s="1431"/>
      <c r="K264" s="1434"/>
      <c r="L264" s="1435"/>
    </row>
    <row r="265" spans="1:13" s="1436" customFormat="1" ht="10.5">
      <c r="A265" s="1430"/>
      <c r="B265" s="1430"/>
      <c r="C265" s="2189"/>
      <c r="D265" s="2190"/>
      <c r="E265" s="2190"/>
      <c r="F265" s="2190"/>
      <c r="G265" s="2190"/>
      <c r="H265" s="2191"/>
      <c r="I265" s="1433"/>
      <c r="J265" s="1431"/>
      <c r="K265" s="1434"/>
      <c r="L265" s="1435"/>
    </row>
    <row r="266" spans="1:13" s="1189" customFormat="1" ht="11.25">
      <c r="A266" s="1437"/>
      <c r="B266" s="1437"/>
      <c r="C266" s="1438" t="s">
        <v>2896</v>
      </c>
      <c r="D266" s="1437"/>
      <c r="E266" s="1437"/>
      <c r="F266" s="1438"/>
      <c r="G266" s="1439"/>
      <c r="H266" s="1440">
        <f>H264+H255+H248+H234+H225+H206+H199+H188+H177+H157+H143+H135+H127+H113+H106+H89+H82+H72+H64+H56+H49+H40+H27+H19+H10</f>
        <v>61275318000</v>
      </c>
      <c r="I266" s="1437"/>
      <c r="J266" s="1437"/>
      <c r="K266" s="1441"/>
      <c r="L266" s="1442"/>
    </row>
    <row r="267" spans="1:13" s="1189" customFormat="1" ht="11.25">
      <c r="A267" s="1443"/>
      <c r="B267" s="1443"/>
      <c r="C267" s="1437" t="s">
        <v>2897</v>
      </c>
      <c r="D267" s="1443"/>
      <c r="E267" s="1443"/>
      <c r="F267" s="1444"/>
      <c r="G267" s="1445"/>
      <c r="H267" s="1445"/>
      <c r="I267" s="1443"/>
      <c r="J267" s="1443"/>
      <c r="K267" s="1446"/>
      <c r="L267" s="1447"/>
    </row>
    <row r="268" spans="1:13" s="1189" customFormat="1" ht="14.25">
      <c r="B268" s="1448"/>
      <c r="C268" s="1448"/>
      <c r="D268" s="1448"/>
      <c r="E268" s="1448"/>
      <c r="F268" s="1448"/>
      <c r="G268" s="1448"/>
      <c r="H268" s="1448"/>
      <c r="I268" s="1448"/>
      <c r="J268" s="1448"/>
      <c r="K268" s="2192" t="s">
        <v>2601</v>
      </c>
      <c r="L268" s="2192"/>
      <c r="M268" s="1449"/>
    </row>
    <row r="269" spans="1:13" s="1189" customFormat="1" ht="15">
      <c r="F269" s="1450"/>
      <c r="G269" s="1451"/>
      <c r="H269" s="1451"/>
      <c r="K269" s="2179" t="s">
        <v>2602</v>
      </c>
      <c r="L269" s="2179"/>
      <c r="M269" s="1452"/>
    </row>
    <row r="270" spans="1:13" s="1189" customFormat="1" ht="11.25">
      <c r="F270" s="1450"/>
      <c r="G270" s="1451"/>
      <c r="H270" s="1451"/>
      <c r="K270" s="1289"/>
      <c r="L270" s="1271"/>
    </row>
    <row r="271" spans="1:13" s="1189" customFormat="1" ht="11.25">
      <c r="F271" s="1450"/>
      <c r="G271" s="1451"/>
      <c r="H271" s="1451"/>
      <c r="K271" s="1289"/>
      <c r="L271" s="1271"/>
    </row>
    <row r="272" spans="1:13" s="1189" customFormat="1" ht="11.25">
      <c r="F272" s="1450"/>
      <c r="G272" s="1451"/>
      <c r="H272" s="1453"/>
      <c r="K272" s="1289"/>
      <c r="L272" s="1271"/>
    </row>
    <row r="273" spans="6:12" s="1189" customFormat="1" ht="11.25">
      <c r="F273" s="1450"/>
      <c r="G273" s="1451"/>
      <c r="H273" s="1451"/>
      <c r="K273" s="1289"/>
      <c r="L273" s="1271"/>
    </row>
    <row r="274" spans="6:12" s="1189" customFormat="1" ht="11.25">
      <c r="F274" s="1450"/>
      <c r="G274" s="1451"/>
      <c r="H274" s="1451"/>
      <c r="K274" s="1289"/>
      <c r="L274" s="1271"/>
    </row>
    <row r="275" spans="6:12" s="1189" customFormat="1" ht="11.25">
      <c r="F275" s="1450"/>
      <c r="G275" s="1451"/>
      <c r="H275" s="1451"/>
      <c r="K275" s="1289"/>
      <c r="L275" s="1271"/>
    </row>
    <row r="276" spans="6:12" s="1189" customFormat="1" ht="11.25">
      <c r="F276" s="1450"/>
      <c r="G276" s="1451"/>
      <c r="H276" s="1451"/>
      <c r="K276" s="1289"/>
      <c r="L276" s="1271"/>
    </row>
    <row r="277" spans="6:12" s="1189" customFormat="1" ht="11.25">
      <c r="F277" s="1450"/>
      <c r="G277" s="1451"/>
      <c r="H277" s="1451"/>
      <c r="K277" s="1289"/>
      <c r="L277" s="1271"/>
    </row>
    <row r="278" spans="6:12" s="1189" customFormat="1" ht="11.25">
      <c r="F278" s="1450"/>
      <c r="G278" s="1451"/>
      <c r="H278" s="1451"/>
      <c r="K278" s="1289"/>
      <c r="L278" s="1271"/>
    </row>
    <row r="279" spans="6:12" s="1189" customFormat="1" ht="11.25">
      <c r="F279" s="1450"/>
      <c r="G279" s="1451"/>
      <c r="H279" s="1451"/>
      <c r="K279" s="1289"/>
      <c r="L279" s="1271"/>
    </row>
    <row r="280" spans="6:12" s="1189" customFormat="1" ht="11.25">
      <c r="F280" s="1450"/>
      <c r="G280" s="1451"/>
      <c r="H280" s="1451"/>
      <c r="K280" s="1289"/>
      <c r="L280" s="1271"/>
    </row>
    <row r="281" spans="6:12" s="1189" customFormat="1" ht="11.25">
      <c r="F281" s="1450"/>
      <c r="G281" s="1451"/>
      <c r="H281" s="1451"/>
      <c r="K281" s="1289"/>
      <c r="L281" s="1271"/>
    </row>
    <row r="282" spans="6:12" s="1189" customFormat="1" ht="11.25">
      <c r="F282" s="1450"/>
      <c r="G282" s="1451"/>
      <c r="H282" s="1451"/>
      <c r="K282" s="1289"/>
      <c r="L282" s="1271"/>
    </row>
    <row r="283" spans="6:12" s="1189" customFormat="1" ht="11.25">
      <c r="F283" s="1450"/>
      <c r="G283" s="1451"/>
      <c r="H283" s="1451"/>
      <c r="K283" s="1289"/>
      <c r="L283" s="1271"/>
    </row>
    <row r="284" spans="6:12" s="1189" customFormat="1" ht="11.25">
      <c r="F284" s="1450"/>
      <c r="G284" s="1451"/>
      <c r="H284" s="1451"/>
      <c r="K284" s="1289"/>
      <c r="L284" s="1271"/>
    </row>
    <row r="285" spans="6:12" s="1189" customFormat="1" ht="11.25">
      <c r="F285" s="1450"/>
      <c r="G285" s="1451"/>
      <c r="H285" s="1451"/>
      <c r="K285" s="1289"/>
      <c r="L285" s="1271"/>
    </row>
    <row r="286" spans="6:12" s="1189" customFormat="1" ht="11.25">
      <c r="F286" s="1450"/>
      <c r="G286" s="1451"/>
      <c r="H286" s="1451"/>
      <c r="K286" s="1289"/>
      <c r="L286" s="1271"/>
    </row>
    <row r="287" spans="6:12" s="1189" customFormat="1" ht="11.25">
      <c r="F287" s="1450"/>
      <c r="G287" s="1451"/>
      <c r="H287" s="1451"/>
      <c r="K287" s="1289"/>
      <c r="L287" s="1271"/>
    </row>
    <row r="288" spans="6:12" s="1189" customFormat="1" ht="11.25">
      <c r="F288" s="1450"/>
      <c r="G288" s="1451"/>
      <c r="H288" s="1451"/>
      <c r="K288" s="1289"/>
      <c r="L288" s="1271"/>
    </row>
    <row r="289" spans="6:12" s="1189" customFormat="1" ht="11.25">
      <c r="F289" s="1450"/>
      <c r="G289" s="1451"/>
      <c r="H289" s="1451"/>
      <c r="K289" s="1289"/>
      <c r="L289" s="1271"/>
    </row>
    <row r="290" spans="6:12" s="1189" customFormat="1" ht="11.25">
      <c r="F290" s="1450"/>
      <c r="G290" s="1451"/>
      <c r="H290" s="1451"/>
      <c r="K290" s="1289"/>
      <c r="L290" s="1271"/>
    </row>
    <row r="291" spans="6:12" s="1189" customFormat="1" ht="11.25">
      <c r="F291" s="1450"/>
      <c r="G291" s="1451"/>
      <c r="H291" s="1451"/>
      <c r="K291" s="1289"/>
      <c r="L291" s="1271"/>
    </row>
    <row r="292" spans="6:12" s="1189" customFormat="1" ht="11.25">
      <c r="F292" s="1450"/>
      <c r="G292" s="1451"/>
      <c r="H292" s="1451"/>
      <c r="K292" s="1289"/>
      <c r="L292" s="1271"/>
    </row>
    <row r="293" spans="6:12" s="1189" customFormat="1" ht="11.25">
      <c r="F293" s="1450"/>
      <c r="G293" s="1451"/>
      <c r="H293" s="1451"/>
      <c r="K293" s="1289"/>
      <c r="L293" s="1271"/>
    </row>
    <row r="294" spans="6:12" s="1189" customFormat="1" ht="11.25">
      <c r="F294" s="1450"/>
      <c r="G294" s="1451"/>
      <c r="H294" s="1451"/>
      <c r="K294" s="1289"/>
      <c r="L294" s="1271"/>
    </row>
    <row r="295" spans="6:12" s="1189" customFormat="1" ht="11.25">
      <c r="F295" s="1450"/>
      <c r="G295" s="1451"/>
      <c r="H295" s="1451"/>
      <c r="K295" s="1289"/>
      <c r="L295" s="1271"/>
    </row>
    <row r="296" spans="6:12" s="1189" customFormat="1" ht="11.25">
      <c r="F296" s="1450"/>
      <c r="G296" s="1451"/>
      <c r="H296" s="1451"/>
      <c r="K296" s="1289"/>
      <c r="L296" s="1271"/>
    </row>
    <row r="297" spans="6:12" s="1189" customFormat="1" ht="11.25">
      <c r="F297" s="1450"/>
      <c r="G297" s="1451"/>
      <c r="H297" s="1451"/>
      <c r="K297" s="1289"/>
      <c r="L297" s="1271"/>
    </row>
    <row r="298" spans="6:12" s="1189" customFormat="1" ht="11.25">
      <c r="F298" s="1450"/>
      <c r="G298" s="1451"/>
      <c r="H298" s="1451"/>
      <c r="K298" s="1289"/>
      <c r="L298" s="1271"/>
    </row>
    <row r="299" spans="6:12" s="1189" customFormat="1" ht="11.25">
      <c r="F299" s="1450"/>
      <c r="G299" s="1451"/>
      <c r="H299" s="1451"/>
      <c r="K299" s="1289"/>
      <c r="L299" s="1271"/>
    </row>
    <row r="300" spans="6:12" s="1189" customFormat="1" ht="11.25">
      <c r="F300" s="1450"/>
      <c r="G300" s="1451"/>
      <c r="H300" s="1451"/>
      <c r="K300" s="1289"/>
      <c r="L300" s="1271"/>
    </row>
    <row r="301" spans="6:12" s="1189" customFormat="1" ht="11.25">
      <c r="F301" s="1450"/>
      <c r="G301" s="1451"/>
      <c r="H301" s="1451"/>
      <c r="K301" s="1289"/>
      <c r="L301" s="1271"/>
    </row>
    <row r="302" spans="6:12" s="1189" customFormat="1" ht="11.25">
      <c r="F302" s="1450"/>
      <c r="G302" s="1451"/>
      <c r="H302" s="1451"/>
      <c r="K302" s="1289"/>
      <c r="L302" s="1271"/>
    </row>
    <row r="303" spans="6:12" s="1189" customFormat="1" ht="11.25">
      <c r="F303" s="1450"/>
      <c r="G303" s="1451"/>
      <c r="H303" s="1451"/>
      <c r="K303" s="1289"/>
      <c r="L303" s="1271"/>
    </row>
    <row r="304" spans="6:12" s="1456" customFormat="1">
      <c r="F304" s="1454"/>
      <c r="G304" s="1455"/>
      <c r="H304" s="1455"/>
      <c r="K304" s="1457"/>
      <c r="L304" s="1458"/>
    </row>
    <row r="305" spans="1:12" s="1456" customFormat="1">
      <c r="F305" s="1454"/>
      <c r="G305" s="1455"/>
      <c r="H305" s="1455"/>
      <c r="K305" s="1457"/>
      <c r="L305" s="1458"/>
    </row>
    <row r="306" spans="1:12" s="1456" customFormat="1">
      <c r="F306" s="1454"/>
      <c r="G306" s="1455"/>
      <c r="H306" s="1455"/>
      <c r="K306" s="1457"/>
      <c r="L306" s="1458"/>
    </row>
    <row r="307" spans="1:12" s="1456" customFormat="1">
      <c r="F307" s="1454"/>
      <c r="G307" s="1455"/>
      <c r="H307" s="1455"/>
      <c r="K307" s="1457"/>
      <c r="L307" s="1458"/>
    </row>
    <row r="308" spans="1:12" s="1456" customFormat="1">
      <c r="F308" s="1454"/>
      <c r="G308" s="1455"/>
      <c r="H308" s="1455"/>
      <c r="K308" s="1457"/>
      <c r="L308" s="1458"/>
    </row>
    <row r="309" spans="1:12" s="1456" customFormat="1">
      <c r="F309" s="1454"/>
      <c r="G309" s="1455"/>
      <c r="H309" s="1455"/>
      <c r="K309" s="1457"/>
      <c r="L309" s="1458"/>
    </row>
    <row r="310" spans="1:12" s="1456" customFormat="1">
      <c r="F310" s="1454"/>
      <c r="G310" s="1455"/>
      <c r="H310" s="1455"/>
      <c r="K310" s="1457"/>
      <c r="L310" s="1458"/>
    </row>
    <row r="311" spans="1:12" s="1456" customFormat="1">
      <c r="F311" s="1454"/>
      <c r="G311" s="1455"/>
      <c r="H311" s="1455"/>
      <c r="K311" s="1457"/>
      <c r="L311" s="1458"/>
    </row>
    <row r="312" spans="1:12" s="1456" customFormat="1">
      <c r="F312" s="1454"/>
      <c r="G312" s="1455"/>
      <c r="H312" s="1455"/>
      <c r="K312" s="1457"/>
      <c r="L312" s="1458"/>
    </row>
    <row r="313" spans="1:12" s="1456" customFormat="1">
      <c r="F313" s="1454"/>
      <c r="G313" s="1455"/>
      <c r="H313" s="1455"/>
      <c r="K313" s="1457"/>
      <c r="L313" s="1458"/>
    </row>
    <row r="314" spans="1:12" s="1456" customFormat="1">
      <c r="F314" s="1454"/>
      <c r="G314" s="1455"/>
      <c r="H314" s="1455"/>
      <c r="K314" s="1457"/>
      <c r="L314" s="1458"/>
    </row>
    <row r="315" spans="1:12" s="1456" customFormat="1">
      <c r="F315" s="1454"/>
      <c r="G315" s="1455"/>
      <c r="H315" s="1455"/>
      <c r="K315" s="1457"/>
      <c r="L315" s="1458"/>
    </row>
    <row r="316" spans="1:12" s="1456" customFormat="1">
      <c r="F316" s="1454"/>
      <c r="G316" s="1455"/>
      <c r="H316" s="1455"/>
      <c r="K316" s="1457"/>
      <c r="L316" s="1458"/>
    </row>
    <row r="317" spans="1:12">
      <c r="A317" s="1456"/>
      <c r="B317" s="1456"/>
      <c r="C317" s="1456"/>
      <c r="D317" s="1456"/>
      <c r="E317" s="1456"/>
      <c r="F317" s="1454"/>
      <c r="G317" s="1455"/>
      <c r="H317" s="1455"/>
      <c r="I317" s="1456"/>
      <c r="J317" s="1456"/>
      <c r="K317" s="1457"/>
      <c r="L317" s="1458"/>
    </row>
  </sheetData>
  <mergeCells count="21">
    <mergeCell ref="C265:H265"/>
    <mergeCell ref="K268:L268"/>
    <mergeCell ref="K269:L269"/>
    <mergeCell ref="C189:G189"/>
    <mergeCell ref="C200:F200"/>
    <mergeCell ref="C207:G207"/>
    <mergeCell ref="C226:H226"/>
    <mergeCell ref="C235:G235"/>
    <mergeCell ref="C249:G249"/>
    <mergeCell ref="C158:G158"/>
    <mergeCell ref="C1:J1"/>
    <mergeCell ref="C2:J2"/>
    <mergeCell ref="C3:J3"/>
    <mergeCell ref="C11:J11"/>
    <mergeCell ref="C20:I20"/>
    <mergeCell ref="C28:I28"/>
    <mergeCell ref="C57:G57"/>
    <mergeCell ref="C65:G65"/>
    <mergeCell ref="C73:G73"/>
    <mergeCell ref="C83:G83"/>
    <mergeCell ref="C128:G128"/>
  </mergeCells>
  <pageMargins left="0.7" right="0.7" top="0.75" bottom="0.75" header="0.3" footer="0.3"/>
  <ignoredErrors>
    <ignoredError sqref="K211:K225" numberStoredAsText="1"/>
  </ignoredErrors>
</worksheet>
</file>

<file path=xl/worksheets/sheet3.xml><?xml version="1.0" encoding="utf-8"?>
<worksheet xmlns="http://schemas.openxmlformats.org/spreadsheetml/2006/main" xmlns:r="http://schemas.openxmlformats.org/officeDocument/2006/relationships">
  <dimension ref="A1:P1416"/>
  <sheetViews>
    <sheetView topLeftCell="A1389" workbookViewId="0">
      <selection activeCell="P1400" sqref="P1400"/>
    </sheetView>
  </sheetViews>
  <sheetFormatPr defaultColWidth="9.140625" defaultRowHeight="12.75"/>
  <cols>
    <col min="1" max="1" width="5.140625" style="1463" bestFit="1" customWidth="1"/>
    <col min="2" max="2" width="3.42578125" style="1464" customWidth="1"/>
    <col min="3" max="3" width="34.42578125" style="1464" customWidth="1"/>
    <col min="4" max="4" width="10.140625" style="1464" customWidth="1"/>
    <col min="5" max="5" width="5" style="1464" customWidth="1"/>
    <col min="6" max="6" width="6.5703125" style="1466" customWidth="1"/>
    <col min="7" max="7" width="9.28515625" style="1466" customWidth="1"/>
    <col min="8" max="8" width="16.7109375" style="1466" customWidth="1"/>
    <col min="9" max="9" width="6.140625" style="1467" hidden="1" customWidth="1"/>
    <col min="10" max="10" width="8.5703125" style="1466" hidden="1" customWidth="1"/>
    <col min="11" max="11" width="16.7109375" style="1466" hidden="1" customWidth="1"/>
    <col min="12" max="12" width="5.42578125" style="1466" hidden="1" customWidth="1"/>
    <col min="13" max="13" width="24.5703125" style="1468" customWidth="1"/>
    <col min="14" max="14" width="28.42578125" style="1469" customWidth="1"/>
    <col min="15" max="260" width="9.140625" style="1468"/>
    <col min="261" max="261" width="5.140625" style="1468" bestFit="1" customWidth="1"/>
    <col min="262" max="262" width="3.42578125" style="1468" customWidth="1"/>
    <col min="263" max="263" width="38.7109375" style="1468" customWidth="1"/>
    <col min="264" max="264" width="10.140625" style="1468" customWidth="1"/>
    <col min="265" max="265" width="5" style="1468" customWidth="1"/>
    <col min="266" max="266" width="6.140625" style="1468" customWidth="1"/>
    <col min="267" max="267" width="8.5703125" style="1468" customWidth="1"/>
    <col min="268" max="268" width="15.28515625" style="1468" customWidth="1"/>
    <col min="269" max="516" width="9.140625" style="1468"/>
    <col min="517" max="517" width="5.140625" style="1468" bestFit="1" customWidth="1"/>
    <col min="518" max="518" width="3.42578125" style="1468" customWidth="1"/>
    <col min="519" max="519" width="38.7109375" style="1468" customWidth="1"/>
    <col min="520" max="520" width="10.140625" style="1468" customWidth="1"/>
    <col min="521" max="521" width="5" style="1468" customWidth="1"/>
    <col min="522" max="522" width="6.140625" style="1468" customWidth="1"/>
    <col min="523" max="523" width="8.5703125" style="1468" customWidth="1"/>
    <col min="524" max="524" width="15.28515625" style="1468" customWidth="1"/>
    <col min="525" max="772" width="9.140625" style="1468"/>
    <col min="773" max="773" width="5.140625" style="1468" bestFit="1" customWidth="1"/>
    <col min="774" max="774" width="3.42578125" style="1468" customWidth="1"/>
    <col min="775" max="775" width="38.7109375" style="1468" customWidth="1"/>
    <col min="776" max="776" width="10.140625" style="1468" customWidth="1"/>
    <col min="777" max="777" width="5" style="1468" customWidth="1"/>
    <col min="778" max="778" width="6.140625" style="1468" customWidth="1"/>
    <col min="779" max="779" width="8.5703125" style="1468" customWidth="1"/>
    <col min="780" max="780" width="15.28515625" style="1468" customWidth="1"/>
    <col min="781" max="1028" width="9.140625" style="1468"/>
    <col min="1029" max="1029" width="5.140625" style="1468" bestFit="1" customWidth="1"/>
    <col min="1030" max="1030" width="3.42578125" style="1468" customWidth="1"/>
    <col min="1031" max="1031" width="38.7109375" style="1468" customWidth="1"/>
    <col min="1032" max="1032" width="10.140625" style="1468" customWidth="1"/>
    <col min="1033" max="1033" width="5" style="1468" customWidth="1"/>
    <col min="1034" max="1034" width="6.140625" style="1468" customWidth="1"/>
    <col min="1035" max="1035" width="8.5703125" style="1468" customWidth="1"/>
    <col min="1036" max="1036" width="15.28515625" style="1468" customWidth="1"/>
    <col min="1037" max="1284" width="9.140625" style="1468"/>
    <col min="1285" max="1285" width="5.140625" style="1468" bestFit="1" customWidth="1"/>
    <col min="1286" max="1286" width="3.42578125" style="1468" customWidth="1"/>
    <col min="1287" max="1287" width="38.7109375" style="1468" customWidth="1"/>
    <col min="1288" max="1288" width="10.140625" style="1468" customWidth="1"/>
    <col min="1289" max="1289" width="5" style="1468" customWidth="1"/>
    <col min="1290" max="1290" width="6.140625" style="1468" customWidth="1"/>
    <col min="1291" max="1291" width="8.5703125" style="1468" customWidth="1"/>
    <col min="1292" max="1292" width="15.28515625" style="1468" customWidth="1"/>
    <col min="1293" max="1540" width="9.140625" style="1468"/>
    <col min="1541" max="1541" width="5.140625" style="1468" bestFit="1" customWidth="1"/>
    <col min="1542" max="1542" width="3.42578125" style="1468" customWidth="1"/>
    <col min="1543" max="1543" width="38.7109375" style="1468" customWidth="1"/>
    <col min="1544" max="1544" width="10.140625" style="1468" customWidth="1"/>
    <col min="1545" max="1545" width="5" style="1468" customWidth="1"/>
    <col min="1546" max="1546" width="6.140625" style="1468" customWidth="1"/>
    <col min="1547" max="1547" width="8.5703125" style="1468" customWidth="1"/>
    <col min="1548" max="1548" width="15.28515625" style="1468" customWidth="1"/>
    <col min="1549" max="1796" width="9.140625" style="1468"/>
    <col min="1797" max="1797" width="5.140625" style="1468" bestFit="1" customWidth="1"/>
    <col min="1798" max="1798" width="3.42578125" style="1468" customWidth="1"/>
    <col min="1799" max="1799" width="38.7109375" style="1468" customWidth="1"/>
    <col min="1800" max="1800" width="10.140625" style="1468" customWidth="1"/>
    <col min="1801" max="1801" width="5" style="1468" customWidth="1"/>
    <col min="1802" max="1802" width="6.140625" style="1468" customWidth="1"/>
    <col min="1803" max="1803" width="8.5703125" style="1468" customWidth="1"/>
    <col min="1804" max="1804" width="15.28515625" style="1468" customWidth="1"/>
    <col min="1805" max="2052" width="9.140625" style="1468"/>
    <col min="2053" max="2053" width="5.140625" style="1468" bestFit="1" customWidth="1"/>
    <col min="2054" max="2054" width="3.42578125" style="1468" customWidth="1"/>
    <col min="2055" max="2055" width="38.7109375" style="1468" customWidth="1"/>
    <col min="2056" max="2056" width="10.140625" style="1468" customWidth="1"/>
    <col min="2057" max="2057" width="5" style="1468" customWidth="1"/>
    <col min="2058" max="2058" width="6.140625" style="1468" customWidth="1"/>
    <col min="2059" max="2059" width="8.5703125" style="1468" customWidth="1"/>
    <col min="2060" max="2060" width="15.28515625" style="1468" customWidth="1"/>
    <col min="2061" max="2308" width="9.140625" style="1468"/>
    <col min="2309" max="2309" width="5.140625" style="1468" bestFit="1" customWidth="1"/>
    <col min="2310" max="2310" width="3.42578125" style="1468" customWidth="1"/>
    <col min="2311" max="2311" width="38.7109375" style="1468" customWidth="1"/>
    <col min="2312" max="2312" width="10.140625" style="1468" customWidth="1"/>
    <col min="2313" max="2313" width="5" style="1468" customWidth="1"/>
    <col min="2314" max="2314" width="6.140625" style="1468" customWidth="1"/>
    <col min="2315" max="2315" width="8.5703125" style="1468" customWidth="1"/>
    <col min="2316" max="2316" width="15.28515625" style="1468" customWidth="1"/>
    <col min="2317" max="2564" width="9.140625" style="1468"/>
    <col min="2565" max="2565" width="5.140625" style="1468" bestFit="1" customWidth="1"/>
    <col min="2566" max="2566" width="3.42578125" style="1468" customWidth="1"/>
    <col min="2567" max="2567" width="38.7109375" style="1468" customWidth="1"/>
    <col min="2568" max="2568" width="10.140625" style="1468" customWidth="1"/>
    <col min="2569" max="2569" width="5" style="1468" customWidth="1"/>
    <col min="2570" max="2570" width="6.140625" style="1468" customWidth="1"/>
    <col min="2571" max="2571" width="8.5703125" style="1468" customWidth="1"/>
    <col min="2572" max="2572" width="15.28515625" style="1468" customWidth="1"/>
    <col min="2573" max="2820" width="9.140625" style="1468"/>
    <col min="2821" max="2821" width="5.140625" style="1468" bestFit="1" customWidth="1"/>
    <col min="2822" max="2822" width="3.42578125" style="1468" customWidth="1"/>
    <col min="2823" max="2823" width="38.7109375" style="1468" customWidth="1"/>
    <col min="2824" max="2824" width="10.140625" style="1468" customWidth="1"/>
    <col min="2825" max="2825" width="5" style="1468" customWidth="1"/>
    <col min="2826" max="2826" width="6.140625" style="1468" customWidth="1"/>
    <col min="2827" max="2827" width="8.5703125" style="1468" customWidth="1"/>
    <col min="2828" max="2828" width="15.28515625" style="1468" customWidth="1"/>
    <col min="2829" max="3076" width="9.140625" style="1468"/>
    <col min="3077" max="3077" width="5.140625" style="1468" bestFit="1" customWidth="1"/>
    <col min="3078" max="3078" width="3.42578125" style="1468" customWidth="1"/>
    <col min="3079" max="3079" width="38.7109375" style="1468" customWidth="1"/>
    <col min="3080" max="3080" width="10.140625" style="1468" customWidth="1"/>
    <col min="3081" max="3081" width="5" style="1468" customWidth="1"/>
    <col min="3082" max="3082" width="6.140625" style="1468" customWidth="1"/>
    <col min="3083" max="3083" width="8.5703125" style="1468" customWidth="1"/>
    <col min="3084" max="3084" width="15.28515625" style="1468" customWidth="1"/>
    <col min="3085" max="3332" width="9.140625" style="1468"/>
    <col min="3333" max="3333" width="5.140625" style="1468" bestFit="1" customWidth="1"/>
    <col min="3334" max="3334" width="3.42578125" style="1468" customWidth="1"/>
    <col min="3335" max="3335" width="38.7109375" style="1468" customWidth="1"/>
    <col min="3336" max="3336" width="10.140625" style="1468" customWidth="1"/>
    <col min="3337" max="3337" width="5" style="1468" customWidth="1"/>
    <col min="3338" max="3338" width="6.140625" style="1468" customWidth="1"/>
    <col min="3339" max="3339" width="8.5703125" style="1468" customWidth="1"/>
    <col min="3340" max="3340" width="15.28515625" style="1468" customWidth="1"/>
    <col min="3341" max="3588" width="9.140625" style="1468"/>
    <col min="3589" max="3589" width="5.140625" style="1468" bestFit="1" customWidth="1"/>
    <col min="3590" max="3590" width="3.42578125" style="1468" customWidth="1"/>
    <col min="3591" max="3591" width="38.7109375" style="1468" customWidth="1"/>
    <col min="3592" max="3592" width="10.140625" style="1468" customWidth="1"/>
    <col min="3593" max="3593" width="5" style="1468" customWidth="1"/>
    <col min="3594" max="3594" width="6.140625" style="1468" customWidth="1"/>
    <col min="3595" max="3595" width="8.5703125" style="1468" customWidth="1"/>
    <col min="3596" max="3596" width="15.28515625" style="1468" customWidth="1"/>
    <col min="3597" max="3844" width="9.140625" style="1468"/>
    <col min="3845" max="3845" width="5.140625" style="1468" bestFit="1" customWidth="1"/>
    <col min="3846" max="3846" width="3.42578125" style="1468" customWidth="1"/>
    <col min="3847" max="3847" width="38.7109375" style="1468" customWidth="1"/>
    <col min="3848" max="3848" width="10.140625" style="1468" customWidth="1"/>
    <col min="3849" max="3849" width="5" style="1468" customWidth="1"/>
    <col min="3850" max="3850" width="6.140625" style="1468" customWidth="1"/>
    <col min="3851" max="3851" width="8.5703125" style="1468" customWidth="1"/>
    <col min="3852" max="3852" width="15.28515625" style="1468" customWidth="1"/>
    <col min="3853" max="4100" width="9.140625" style="1468"/>
    <col min="4101" max="4101" width="5.140625" style="1468" bestFit="1" customWidth="1"/>
    <col min="4102" max="4102" width="3.42578125" style="1468" customWidth="1"/>
    <col min="4103" max="4103" width="38.7109375" style="1468" customWidth="1"/>
    <col min="4104" max="4104" width="10.140625" style="1468" customWidth="1"/>
    <col min="4105" max="4105" width="5" style="1468" customWidth="1"/>
    <col min="4106" max="4106" width="6.140625" style="1468" customWidth="1"/>
    <col min="4107" max="4107" width="8.5703125" style="1468" customWidth="1"/>
    <col min="4108" max="4108" width="15.28515625" style="1468" customWidth="1"/>
    <col min="4109" max="4356" width="9.140625" style="1468"/>
    <col min="4357" max="4357" width="5.140625" style="1468" bestFit="1" customWidth="1"/>
    <col min="4358" max="4358" width="3.42578125" style="1468" customWidth="1"/>
    <col min="4359" max="4359" width="38.7109375" style="1468" customWidth="1"/>
    <col min="4360" max="4360" width="10.140625" style="1468" customWidth="1"/>
    <col min="4361" max="4361" width="5" style="1468" customWidth="1"/>
    <col min="4362" max="4362" width="6.140625" style="1468" customWidth="1"/>
    <col min="4363" max="4363" width="8.5703125" style="1468" customWidth="1"/>
    <col min="4364" max="4364" width="15.28515625" style="1468" customWidth="1"/>
    <col min="4365" max="4612" width="9.140625" style="1468"/>
    <col min="4613" max="4613" width="5.140625" style="1468" bestFit="1" customWidth="1"/>
    <col min="4614" max="4614" width="3.42578125" style="1468" customWidth="1"/>
    <col min="4615" max="4615" width="38.7109375" style="1468" customWidth="1"/>
    <col min="4616" max="4616" width="10.140625" style="1468" customWidth="1"/>
    <col min="4617" max="4617" width="5" style="1468" customWidth="1"/>
    <col min="4618" max="4618" width="6.140625" style="1468" customWidth="1"/>
    <col min="4619" max="4619" width="8.5703125" style="1468" customWidth="1"/>
    <col min="4620" max="4620" width="15.28515625" style="1468" customWidth="1"/>
    <col min="4621" max="4868" width="9.140625" style="1468"/>
    <col min="4869" max="4869" width="5.140625" style="1468" bestFit="1" customWidth="1"/>
    <col min="4870" max="4870" width="3.42578125" style="1468" customWidth="1"/>
    <col min="4871" max="4871" width="38.7109375" style="1468" customWidth="1"/>
    <col min="4872" max="4872" width="10.140625" style="1468" customWidth="1"/>
    <col min="4873" max="4873" width="5" style="1468" customWidth="1"/>
    <col min="4874" max="4874" width="6.140625" style="1468" customWidth="1"/>
    <col min="4875" max="4875" width="8.5703125" style="1468" customWidth="1"/>
    <col min="4876" max="4876" width="15.28515625" style="1468" customWidth="1"/>
    <col min="4877" max="5124" width="9.140625" style="1468"/>
    <col min="5125" max="5125" width="5.140625" style="1468" bestFit="1" customWidth="1"/>
    <col min="5126" max="5126" width="3.42578125" style="1468" customWidth="1"/>
    <col min="5127" max="5127" width="38.7109375" style="1468" customWidth="1"/>
    <col min="5128" max="5128" width="10.140625" style="1468" customWidth="1"/>
    <col min="5129" max="5129" width="5" style="1468" customWidth="1"/>
    <col min="5130" max="5130" width="6.140625" style="1468" customWidth="1"/>
    <col min="5131" max="5131" width="8.5703125" style="1468" customWidth="1"/>
    <col min="5132" max="5132" width="15.28515625" style="1468" customWidth="1"/>
    <col min="5133" max="5380" width="9.140625" style="1468"/>
    <col min="5381" max="5381" width="5.140625" style="1468" bestFit="1" customWidth="1"/>
    <col min="5382" max="5382" width="3.42578125" style="1468" customWidth="1"/>
    <col min="5383" max="5383" width="38.7109375" style="1468" customWidth="1"/>
    <col min="5384" max="5384" width="10.140625" style="1468" customWidth="1"/>
    <col min="5385" max="5385" width="5" style="1468" customWidth="1"/>
    <col min="5386" max="5386" width="6.140625" style="1468" customWidth="1"/>
    <col min="5387" max="5387" width="8.5703125" style="1468" customWidth="1"/>
    <col min="5388" max="5388" width="15.28515625" style="1468" customWidth="1"/>
    <col min="5389" max="5636" width="9.140625" style="1468"/>
    <col min="5637" max="5637" width="5.140625" style="1468" bestFit="1" customWidth="1"/>
    <col min="5638" max="5638" width="3.42578125" style="1468" customWidth="1"/>
    <col min="5639" max="5639" width="38.7109375" style="1468" customWidth="1"/>
    <col min="5640" max="5640" width="10.140625" style="1468" customWidth="1"/>
    <col min="5641" max="5641" width="5" style="1468" customWidth="1"/>
    <col min="5642" max="5642" width="6.140625" style="1468" customWidth="1"/>
    <col min="5643" max="5643" width="8.5703125" style="1468" customWidth="1"/>
    <col min="5644" max="5644" width="15.28515625" style="1468" customWidth="1"/>
    <col min="5645" max="5892" width="9.140625" style="1468"/>
    <col min="5893" max="5893" width="5.140625" style="1468" bestFit="1" customWidth="1"/>
    <col min="5894" max="5894" width="3.42578125" style="1468" customWidth="1"/>
    <col min="5895" max="5895" width="38.7109375" style="1468" customWidth="1"/>
    <col min="5896" max="5896" width="10.140625" style="1468" customWidth="1"/>
    <col min="5897" max="5897" width="5" style="1468" customWidth="1"/>
    <col min="5898" max="5898" width="6.140625" style="1468" customWidth="1"/>
    <col min="5899" max="5899" width="8.5703125" style="1468" customWidth="1"/>
    <col min="5900" max="5900" width="15.28515625" style="1468" customWidth="1"/>
    <col min="5901" max="6148" width="9.140625" style="1468"/>
    <col min="6149" max="6149" width="5.140625" style="1468" bestFit="1" customWidth="1"/>
    <col min="6150" max="6150" width="3.42578125" style="1468" customWidth="1"/>
    <col min="6151" max="6151" width="38.7109375" style="1468" customWidth="1"/>
    <col min="6152" max="6152" width="10.140625" style="1468" customWidth="1"/>
    <col min="6153" max="6153" width="5" style="1468" customWidth="1"/>
    <col min="6154" max="6154" width="6.140625" style="1468" customWidth="1"/>
    <col min="6155" max="6155" width="8.5703125" style="1468" customWidth="1"/>
    <col min="6156" max="6156" width="15.28515625" style="1468" customWidth="1"/>
    <col min="6157" max="6404" width="9.140625" style="1468"/>
    <col min="6405" max="6405" width="5.140625" style="1468" bestFit="1" customWidth="1"/>
    <col min="6406" max="6406" width="3.42578125" style="1468" customWidth="1"/>
    <col min="6407" max="6407" width="38.7109375" style="1468" customWidth="1"/>
    <col min="6408" max="6408" width="10.140625" style="1468" customWidth="1"/>
    <col min="6409" max="6409" width="5" style="1468" customWidth="1"/>
    <col min="6410" max="6410" width="6.140625" style="1468" customWidth="1"/>
    <col min="6411" max="6411" width="8.5703125" style="1468" customWidth="1"/>
    <col min="6412" max="6412" width="15.28515625" style="1468" customWidth="1"/>
    <col min="6413" max="6660" width="9.140625" style="1468"/>
    <col min="6661" max="6661" width="5.140625" style="1468" bestFit="1" customWidth="1"/>
    <col min="6662" max="6662" width="3.42578125" style="1468" customWidth="1"/>
    <col min="6663" max="6663" width="38.7109375" style="1468" customWidth="1"/>
    <col min="6664" max="6664" width="10.140625" style="1468" customWidth="1"/>
    <col min="6665" max="6665" width="5" style="1468" customWidth="1"/>
    <col min="6666" max="6666" width="6.140625" style="1468" customWidth="1"/>
    <col min="6667" max="6667" width="8.5703125" style="1468" customWidth="1"/>
    <col min="6668" max="6668" width="15.28515625" style="1468" customWidth="1"/>
    <col min="6669" max="6916" width="9.140625" style="1468"/>
    <col min="6917" max="6917" width="5.140625" style="1468" bestFit="1" customWidth="1"/>
    <col min="6918" max="6918" width="3.42578125" style="1468" customWidth="1"/>
    <col min="6919" max="6919" width="38.7109375" style="1468" customWidth="1"/>
    <col min="6920" max="6920" width="10.140625" style="1468" customWidth="1"/>
    <col min="6921" max="6921" width="5" style="1468" customWidth="1"/>
    <col min="6922" max="6922" width="6.140625" style="1468" customWidth="1"/>
    <col min="6923" max="6923" width="8.5703125" style="1468" customWidth="1"/>
    <col min="6924" max="6924" width="15.28515625" style="1468" customWidth="1"/>
    <col min="6925" max="7172" width="9.140625" style="1468"/>
    <col min="7173" max="7173" width="5.140625" style="1468" bestFit="1" customWidth="1"/>
    <col min="7174" max="7174" width="3.42578125" style="1468" customWidth="1"/>
    <col min="7175" max="7175" width="38.7109375" style="1468" customWidth="1"/>
    <col min="7176" max="7176" width="10.140625" style="1468" customWidth="1"/>
    <col min="7177" max="7177" width="5" style="1468" customWidth="1"/>
    <col min="7178" max="7178" width="6.140625" style="1468" customWidth="1"/>
    <col min="7179" max="7179" width="8.5703125" style="1468" customWidth="1"/>
    <col min="7180" max="7180" width="15.28515625" style="1468" customWidth="1"/>
    <col min="7181" max="7428" width="9.140625" style="1468"/>
    <col min="7429" max="7429" width="5.140625" style="1468" bestFit="1" customWidth="1"/>
    <col min="7430" max="7430" width="3.42578125" style="1468" customWidth="1"/>
    <col min="7431" max="7431" width="38.7109375" style="1468" customWidth="1"/>
    <col min="7432" max="7432" width="10.140625" style="1468" customWidth="1"/>
    <col min="7433" max="7433" width="5" style="1468" customWidth="1"/>
    <col min="7434" max="7434" width="6.140625" style="1468" customWidth="1"/>
    <col min="7435" max="7435" width="8.5703125" style="1468" customWidth="1"/>
    <col min="7436" max="7436" width="15.28515625" style="1468" customWidth="1"/>
    <col min="7437" max="7684" width="9.140625" style="1468"/>
    <col min="7685" max="7685" width="5.140625" style="1468" bestFit="1" customWidth="1"/>
    <col min="7686" max="7686" width="3.42578125" style="1468" customWidth="1"/>
    <col min="7687" max="7687" width="38.7109375" style="1468" customWidth="1"/>
    <col min="7688" max="7688" width="10.140625" style="1468" customWidth="1"/>
    <col min="7689" max="7689" width="5" style="1468" customWidth="1"/>
    <col min="7690" max="7690" width="6.140625" style="1468" customWidth="1"/>
    <col min="7691" max="7691" width="8.5703125" style="1468" customWidth="1"/>
    <col min="7692" max="7692" width="15.28515625" style="1468" customWidth="1"/>
    <col min="7693" max="7940" width="9.140625" style="1468"/>
    <col min="7941" max="7941" width="5.140625" style="1468" bestFit="1" customWidth="1"/>
    <col min="7942" max="7942" width="3.42578125" style="1468" customWidth="1"/>
    <col min="7943" max="7943" width="38.7109375" style="1468" customWidth="1"/>
    <col min="7944" max="7944" width="10.140625" style="1468" customWidth="1"/>
    <col min="7945" max="7945" width="5" style="1468" customWidth="1"/>
    <col min="7946" max="7946" width="6.140625" style="1468" customWidth="1"/>
    <col min="7947" max="7947" width="8.5703125" style="1468" customWidth="1"/>
    <col min="7948" max="7948" width="15.28515625" style="1468" customWidth="1"/>
    <col min="7949" max="8196" width="9.140625" style="1468"/>
    <col min="8197" max="8197" width="5.140625" style="1468" bestFit="1" customWidth="1"/>
    <col min="8198" max="8198" width="3.42578125" style="1468" customWidth="1"/>
    <col min="8199" max="8199" width="38.7109375" style="1468" customWidth="1"/>
    <col min="8200" max="8200" width="10.140625" style="1468" customWidth="1"/>
    <col min="8201" max="8201" width="5" style="1468" customWidth="1"/>
    <col min="8202" max="8202" width="6.140625" style="1468" customWidth="1"/>
    <col min="8203" max="8203" width="8.5703125" style="1468" customWidth="1"/>
    <col min="8204" max="8204" width="15.28515625" style="1468" customWidth="1"/>
    <col min="8205" max="8452" width="9.140625" style="1468"/>
    <col min="8453" max="8453" width="5.140625" style="1468" bestFit="1" customWidth="1"/>
    <col min="8454" max="8454" width="3.42578125" style="1468" customWidth="1"/>
    <col min="8455" max="8455" width="38.7109375" style="1468" customWidth="1"/>
    <col min="8456" max="8456" width="10.140625" style="1468" customWidth="1"/>
    <col min="8457" max="8457" width="5" style="1468" customWidth="1"/>
    <col min="8458" max="8458" width="6.140625" style="1468" customWidth="1"/>
    <col min="8459" max="8459" width="8.5703125" style="1468" customWidth="1"/>
    <col min="8460" max="8460" width="15.28515625" style="1468" customWidth="1"/>
    <col min="8461" max="8708" width="9.140625" style="1468"/>
    <col min="8709" max="8709" width="5.140625" style="1468" bestFit="1" customWidth="1"/>
    <col min="8710" max="8710" width="3.42578125" style="1468" customWidth="1"/>
    <col min="8711" max="8711" width="38.7109375" style="1468" customWidth="1"/>
    <col min="8712" max="8712" width="10.140625" style="1468" customWidth="1"/>
    <col min="8713" max="8713" width="5" style="1468" customWidth="1"/>
    <col min="8714" max="8714" width="6.140625" style="1468" customWidth="1"/>
    <col min="8715" max="8715" width="8.5703125" style="1468" customWidth="1"/>
    <col min="8716" max="8716" width="15.28515625" style="1468" customWidth="1"/>
    <col min="8717" max="8964" width="9.140625" style="1468"/>
    <col min="8965" max="8965" width="5.140625" style="1468" bestFit="1" customWidth="1"/>
    <col min="8966" max="8966" width="3.42578125" style="1468" customWidth="1"/>
    <col min="8967" max="8967" width="38.7109375" style="1468" customWidth="1"/>
    <col min="8968" max="8968" width="10.140625" style="1468" customWidth="1"/>
    <col min="8969" max="8969" width="5" style="1468" customWidth="1"/>
    <col min="8970" max="8970" width="6.140625" style="1468" customWidth="1"/>
    <col min="8971" max="8971" width="8.5703125" style="1468" customWidth="1"/>
    <col min="8972" max="8972" width="15.28515625" style="1468" customWidth="1"/>
    <col min="8973" max="9220" width="9.140625" style="1468"/>
    <col min="9221" max="9221" width="5.140625" style="1468" bestFit="1" customWidth="1"/>
    <col min="9222" max="9222" width="3.42578125" style="1468" customWidth="1"/>
    <col min="9223" max="9223" width="38.7109375" style="1468" customWidth="1"/>
    <col min="9224" max="9224" width="10.140625" style="1468" customWidth="1"/>
    <col min="9225" max="9225" width="5" style="1468" customWidth="1"/>
    <col min="9226" max="9226" width="6.140625" style="1468" customWidth="1"/>
    <col min="9227" max="9227" width="8.5703125" style="1468" customWidth="1"/>
    <col min="9228" max="9228" width="15.28515625" style="1468" customWidth="1"/>
    <col min="9229" max="9476" width="9.140625" style="1468"/>
    <col min="9477" max="9477" width="5.140625" style="1468" bestFit="1" customWidth="1"/>
    <col min="9478" max="9478" width="3.42578125" style="1468" customWidth="1"/>
    <col min="9479" max="9479" width="38.7109375" style="1468" customWidth="1"/>
    <col min="9480" max="9480" width="10.140625" style="1468" customWidth="1"/>
    <col min="9481" max="9481" width="5" style="1468" customWidth="1"/>
    <col min="9482" max="9482" width="6.140625" style="1468" customWidth="1"/>
    <col min="9483" max="9483" width="8.5703125" style="1468" customWidth="1"/>
    <col min="9484" max="9484" width="15.28515625" style="1468" customWidth="1"/>
    <col min="9485" max="9732" width="9.140625" style="1468"/>
    <col min="9733" max="9733" width="5.140625" style="1468" bestFit="1" customWidth="1"/>
    <col min="9734" max="9734" width="3.42578125" style="1468" customWidth="1"/>
    <col min="9735" max="9735" width="38.7109375" style="1468" customWidth="1"/>
    <col min="9736" max="9736" width="10.140625" style="1468" customWidth="1"/>
    <col min="9737" max="9737" width="5" style="1468" customWidth="1"/>
    <col min="9738" max="9738" width="6.140625" style="1468" customWidth="1"/>
    <col min="9739" max="9739" width="8.5703125" style="1468" customWidth="1"/>
    <col min="9740" max="9740" width="15.28515625" style="1468" customWidth="1"/>
    <col min="9741" max="9988" width="9.140625" style="1468"/>
    <col min="9989" max="9989" width="5.140625" style="1468" bestFit="1" customWidth="1"/>
    <col min="9990" max="9990" width="3.42578125" style="1468" customWidth="1"/>
    <col min="9991" max="9991" width="38.7109375" style="1468" customWidth="1"/>
    <col min="9992" max="9992" width="10.140625" style="1468" customWidth="1"/>
    <col min="9993" max="9993" width="5" style="1468" customWidth="1"/>
    <col min="9994" max="9994" width="6.140625" style="1468" customWidth="1"/>
    <col min="9995" max="9995" width="8.5703125" style="1468" customWidth="1"/>
    <col min="9996" max="9996" width="15.28515625" style="1468" customWidth="1"/>
    <col min="9997" max="10244" width="9.140625" style="1468"/>
    <col min="10245" max="10245" width="5.140625" style="1468" bestFit="1" customWidth="1"/>
    <col min="10246" max="10246" width="3.42578125" style="1468" customWidth="1"/>
    <col min="10247" max="10247" width="38.7109375" style="1468" customWidth="1"/>
    <col min="10248" max="10248" width="10.140625" style="1468" customWidth="1"/>
    <col min="10249" max="10249" width="5" style="1468" customWidth="1"/>
    <col min="10250" max="10250" width="6.140625" style="1468" customWidth="1"/>
    <col min="10251" max="10251" width="8.5703125" style="1468" customWidth="1"/>
    <col min="10252" max="10252" width="15.28515625" style="1468" customWidth="1"/>
    <col min="10253" max="10500" width="9.140625" style="1468"/>
    <col min="10501" max="10501" width="5.140625" style="1468" bestFit="1" customWidth="1"/>
    <col min="10502" max="10502" width="3.42578125" style="1468" customWidth="1"/>
    <col min="10503" max="10503" width="38.7109375" style="1468" customWidth="1"/>
    <col min="10504" max="10504" width="10.140625" style="1468" customWidth="1"/>
    <col min="10505" max="10505" width="5" style="1468" customWidth="1"/>
    <col min="10506" max="10506" width="6.140625" style="1468" customWidth="1"/>
    <col min="10507" max="10507" width="8.5703125" style="1468" customWidth="1"/>
    <col min="10508" max="10508" width="15.28515625" style="1468" customWidth="1"/>
    <col min="10509" max="10756" width="9.140625" style="1468"/>
    <col min="10757" max="10757" width="5.140625" style="1468" bestFit="1" customWidth="1"/>
    <col min="10758" max="10758" width="3.42578125" style="1468" customWidth="1"/>
    <col min="10759" max="10759" width="38.7109375" style="1468" customWidth="1"/>
    <col min="10760" max="10760" width="10.140625" style="1468" customWidth="1"/>
    <col min="10761" max="10761" width="5" style="1468" customWidth="1"/>
    <col min="10762" max="10762" width="6.140625" style="1468" customWidth="1"/>
    <col min="10763" max="10763" width="8.5703125" style="1468" customWidth="1"/>
    <col min="10764" max="10764" width="15.28515625" style="1468" customWidth="1"/>
    <col min="10765" max="11012" width="9.140625" style="1468"/>
    <col min="11013" max="11013" width="5.140625" style="1468" bestFit="1" customWidth="1"/>
    <col min="11014" max="11014" width="3.42578125" style="1468" customWidth="1"/>
    <col min="11015" max="11015" width="38.7109375" style="1468" customWidth="1"/>
    <col min="11016" max="11016" width="10.140625" style="1468" customWidth="1"/>
    <col min="11017" max="11017" width="5" style="1468" customWidth="1"/>
    <col min="11018" max="11018" width="6.140625" style="1468" customWidth="1"/>
    <col min="11019" max="11019" width="8.5703125" style="1468" customWidth="1"/>
    <col min="11020" max="11020" width="15.28515625" style="1468" customWidth="1"/>
    <col min="11021" max="11268" width="9.140625" style="1468"/>
    <col min="11269" max="11269" width="5.140625" style="1468" bestFit="1" customWidth="1"/>
    <col min="11270" max="11270" width="3.42578125" style="1468" customWidth="1"/>
    <col min="11271" max="11271" width="38.7109375" style="1468" customWidth="1"/>
    <col min="11272" max="11272" width="10.140625" style="1468" customWidth="1"/>
    <col min="11273" max="11273" width="5" style="1468" customWidth="1"/>
    <col min="11274" max="11274" width="6.140625" style="1468" customWidth="1"/>
    <col min="11275" max="11275" width="8.5703125" style="1468" customWidth="1"/>
    <col min="11276" max="11276" width="15.28515625" style="1468" customWidth="1"/>
    <col min="11277" max="11524" width="9.140625" style="1468"/>
    <col min="11525" max="11525" width="5.140625" style="1468" bestFit="1" customWidth="1"/>
    <col min="11526" max="11526" width="3.42578125" style="1468" customWidth="1"/>
    <col min="11527" max="11527" width="38.7109375" style="1468" customWidth="1"/>
    <col min="11528" max="11528" width="10.140625" style="1468" customWidth="1"/>
    <col min="11529" max="11529" width="5" style="1468" customWidth="1"/>
    <col min="11530" max="11530" width="6.140625" style="1468" customWidth="1"/>
    <col min="11531" max="11531" width="8.5703125" style="1468" customWidth="1"/>
    <col min="11532" max="11532" width="15.28515625" style="1468" customWidth="1"/>
    <col min="11533" max="11780" width="9.140625" style="1468"/>
    <col min="11781" max="11781" width="5.140625" style="1468" bestFit="1" customWidth="1"/>
    <col min="11782" max="11782" width="3.42578125" style="1468" customWidth="1"/>
    <col min="11783" max="11783" width="38.7109375" style="1468" customWidth="1"/>
    <col min="11784" max="11784" width="10.140625" style="1468" customWidth="1"/>
    <col min="11785" max="11785" width="5" style="1468" customWidth="1"/>
    <col min="11786" max="11786" width="6.140625" style="1468" customWidth="1"/>
    <col min="11787" max="11787" width="8.5703125" style="1468" customWidth="1"/>
    <col min="11788" max="11788" width="15.28515625" style="1468" customWidth="1"/>
    <col min="11789" max="12036" width="9.140625" style="1468"/>
    <col min="12037" max="12037" width="5.140625" style="1468" bestFit="1" customWidth="1"/>
    <col min="12038" max="12038" width="3.42578125" style="1468" customWidth="1"/>
    <col min="12039" max="12039" width="38.7109375" style="1468" customWidth="1"/>
    <col min="12040" max="12040" width="10.140625" style="1468" customWidth="1"/>
    <col min="12041" max="12041" width="5" style="1468" customWidth="1"/>
    <col min="12042" max="12042" width="6.140625" style="1468" customWidth="1"/>
    <col min="12043" max="12043" width="8.5703125" style="1468" customWidth="1"/>
    <col min="12044" max="12044" width="15.28515625" style="1468" customWidth="1"/>
    <col min="12045" max="12292" width="9.140625" style="1468"/>
    <col min="12293" max="12293" width="5.140625" style="1468" bestFit="1" customWidth="1"/>
    <col min="12294" max="12294" width="3.42578125" style="1468" customWidth="1"/>
    <col min="12295" max="12295" width="38.7109375" style="1468" customWidth="1"/>
    <col min="12296" max="12296" width="10.140625" style="1468" customWidth="1"/>
    <col min="12297" max="12297" width="5" style="1468" customWidth="1"/>
    <col min="12298" max="12298" width="6.140625" style="1468" customWidth="1"/>
    <col min="12299" max="12299" width="8.5703125" style="1468" customWidth="1"/>
    <col min="12300" max="12300" width="15.28515625" style="1468" customWidth="1"/>
    <col min="12301" max="12548" width="9.140625" style="1468"/>
    <col min="12549" max="12549" width="5.140625" style="1468" bestFit="1" customWidth="1"/>
    <col min="12550" max="12550" width="3.42578125" style="1468" customWidth="1"/>
    <col min="12551" max="12551" width="38.7109375" style="1468" customWidth="1"/>
    <col min="12552" max="12552" width="10.140625" style="1468" customWidth="1"/>
    <col min="12553" max="12553" width="5" style="1468" customWidth="1"/>
    <col min="12554" max="12554" width="6.140625" style="1468" customWidth="1"/>
    <col min="12555" max="12555" width="8.5703125" style="1468" customWidth="1"/>
    <col min="12556" max="12556" width="15.28515625" style="1468" customWidth="1"/>
    <col min="12557" max="12804" width="9.140625" style="1468"/>
    <col min="12805" max="12805" width="5.140625" style="1468" bestFit="1" customWidth="1"/>
    <col min="12806" max="12806" width="3.42578125" style="1468" customWidth="1"/>
    <col min="12807" max="12807" width="38.7109375" style="1468" customWidth="1"/>
    <col min="12808" max="12808" width="10.140625" style="1468" customWidth="1"/>
    <col min="12809" max="12809" width="5" style="1468" customWidth="1"/>
    <col min="12810" max="12810" width="6.140625" style="1468" customWidth="1"/>
    <col min="12811" max="12811" width="8.5703125" style="1468" customWidth="1"/>
    <col min="12812" max="12812" width="15.28515625" style="1468" customWidth="1"/>
    <col min="12813" max="13060" width="9.140625" style="1468"/>
    <col min="13061" max="13061" width="5.140625" style="1468" bestFit="1" customWidth="1"/>
    <col min="13062" max="13062" width="3.42578125" style="1468" customWidth="1"/>
    <col min="13063" max="13063" width="38.7109375" style="1468" customWidth="1"/>
    <col min="13064" max="13064" width="10.140625" style="1468" customWidth="1"/>
    <col min="13065" max="13065" width="5" style="1468" customWidth="1"/>
    <col min="13066" max="13066" width="6.140625" style="1468" customWidth="1"/>
    <col min="13067" max="13067" width="8.5703125" style="1468" customWidth="1"/>
    <col min="13068" max="13068" width="15.28515625" style="1468" customWidth="1"/>
    <col min="13069" max="13316" width="9.140625" style="1468"/>
    <col min="13317" max="13317" width="5.140625" style="1468" bestFit="1" customWidth="1"/>
    <col min="13318" max="13318" width="3.42578125" style="1468" customWidth="1"/>
    <col min="13319" max="13319" width="38.7109375" style="1468" customWidth="1"/>
    <col min="13320" max="13320" width="10.140625" style="1468" customWidth="1"/>
    <col min="13321" max="13321" width="5" style="1468" customWidth="1"/>
    <col min="13322" max="13322" width="6.140625" style="1468" customWidth="1"/>
    <col min="13323" max="13323" width="8.5703125" style="1468" customWidth="1"/>
    <col min="13324" max="13324" width="15.28515625" style="1468" customWidth="1"/>
    <col min="13325" max="13572" width="9.140625" style="1468"/>
    <col min="13573" max="13573" width="5.140625" style="1468" bestFit="1" customWidth="1"/>
    <col min="13574" max="13574" width="3.42578125" style="1468" customWidth="1"/>
    <col min="13575" max="13575" width="38.7109375" style="1468" customWidth="1"/>
    <col min="13576" max="13576" width="10.140625" style="1468" customWidth="1"/>
    <col min="13577" max="13577" width="5" style="1468" customWidth="1"/>
    <col min="13578" max="13578" width="6.140625" style="1468" customWidth="1"/>
    <col min="13579" max="13579" width="8.5703125" style="1468" customWidth="1"/>
    <col min="13580" max="13580" width="15.28515625" style="1468" customWidth="1"/>
    <col min="13581" max="13828" width="9.140625" style="1468"/>
    <col min="13829" max="13829" width="5.140625" style="1468" bestFit="1" customWidth="1"/>
    <col min="13830" max="13830" width="3.42578125" style="1468" customWidth="1"/>
    <col min="13831" max="13831" width="38.7109375" style="1468" customWidth="1"/>
    <col min="13832" max="13832" width="10.140625" style="1468" customWidth="1"/>
    <col min="13833" max="13833" width="5" style="1468" customWidth="1"/>
    <col min="13834" max="13834" width="6.140625" style="1468" customWidth="1"/>
    <col min="13835" max="13835" width="8.5703125" style="1468" customWidth="1"/>
    <col min="13836" max="13836" width="15.28515625" style="1468" customWidth="1"/>
    <col min="13837" max="14084" width="9.140625" style="1468"/>
    <col min="14085" max="14085" width="5.140625" style="1468" bestFit="1" customWidth="1"/>
    <col min="14086" max="14086" width="3.42578125" style="1468" customWidth="1"/>
    <col min="14087" max="14087" width="38.7109375" style="1468" customWidth="1"/>
    <col min="14088" max="14088" width="10.140625" style="1468" customWidth="1"/>
    <col min="14089" max="14089" width="5" style="1468" customWidth="1"/>
    <col min="14090" max="14090" width="6.140625" style="1468" customWidth="1"/>
    <col min="14091" max="14091" width="8.5703125" style="1468" customWidth="1"/>
    <col min="14092" max="14092" width="15.28515625" style="1468" customWidth="1"/>
    <col min="14093" max="14340" width="9.140625" style="1468"/>
    <col min="14341" max="14341" width="5.140625" style="1468" bestFit="1" customWidth="1"/>
    <col min="14342" max="14342" width="3.42578125" style="1468" customWidth="1"/>
    <col min="14343" max="14343" width="38.7109375" style="1468" customWidth="1"/>
    <col min="14344" max="14344" width="10.140625" style="1468" customWidth="1"/>
    <col min="14345" max="14345" width="5" style="1468" customWidth="1"/>
    <col min="14346" max="14346" width="6.140625" style="1468" customWidth="1"/>
    <col min="14347" max="14347" width="8.5703125" style="1468" customWidth="1"/>
    <col min="14348" max="14348" width="15.28515625" style="1468" customWidth="1"/>
    <col min="14349" max="14596" width="9.140625" style="1468"/>
    <col min="14597" max="14597" width="5.140625" style="1468" bestFit="1" customWidth="1"/>
    <col min="14598" max="14598" width="3.42578125" style="1468" customWidth="1"/>
    <col min="14599" max="14599" width="38.7109375" style="1468" customWidth="1"/>
    <col min="14600" max="14600" width="10.140625" style="1468" customWidth="1"/>
    <col min="14601" max="14601" width="5" style="1468" customWidth="1"/>
    <col min="14602" max="14602" width="6.140625" style="1468" customWidth="1"/>
    <col min="14603" max="14603" width="8.5703125" style="1468" customWidth="1"/>
    <col min="14604" max="14604" width="15.28515625" style="1468" customWidth="1"/>
    <col min="14605" max="14852" width="9.140625" style="1468"/>
    <col min="14853" max="14853" width="5.140625" style="1468" bestFit="1" customWidth="1"/>
    <col min="14854" max="14854" width="3.42578125" style="1468" customWidth="1"/>
    <col min="14855" max="14855" width="38.7109375" style="1468" customWidth="1"/>
    <col min="14856" max="14856" width="10.140625" style="1468" customWidth="1"/>
    <col min="14857" max="14857" width="5" style="1468" customWidth="1"/>
    <col min="14858" max="14858" width="6.140625" style="1468" customWidth="1"/>
    <col min="14859" max="14859" width="8.5703125" style="1468" customWidth="1"/>
    <col min="14860" max="14860" width="15.28515625" style="1468" customWidth="1"/>
    <col min="14861" max="15108" width="9.140625" style="1468"/>
    <col min="15109" max="15109" width="5.140625" style="1468" bestFit="1" customWidth="1"/>
    <col min="15110" max="15110" width="3.42578125" style="1468" customWidth="1"/>
    <col min="15111" max="15111" width="38.7109375" style="1468" customWidth="1"/>
    <col min="15112" max="15112" width="10.140625" style="1468" customWidth="1"/>
    <col min="15113" max="15113" width="5" style="1468" customWidth="1"/>
    <col min="15114" max="15114" width="6.140625" style="1468" customWidth="1"/>
    <col min="15115" max="15115" width="8.5703125" style="1468" customWidth="1"/>
    <col min="15116" max="15116" width="15.28515625" style="1468" customWidth="1"/>
    <col min="15117" max="15364" width="9.140625" style="1468"/>
    <col min="15365" max="15365" width="5.140625" style="1468" bestFit="1" customWidth="1"/>
    <col min="15366" max="15366" width="3.42578125" style="1468" customWidth="1"/>
    <col min="15367" max="15367" width="38.7109375" style="1468" customWidth="1"/>
    <col min="15368" max="15368" width="10.140625" style="1468" customWidth="1"/>
    <col min="15369" max="15369" width="5" style="1468" customWidth="1"/>
    <col min="15370" max="15370" width="6.140625" style="1468" customWidth="1"/>
    <col min="15371" max="15371" width="8.5703125" style="1468" customWidth="1"/>
    <col min="15372" max="15372" width="15.28515625" style="1468" customWidth="1"/>
    <col min="15373" max="15620" width="9.140625" style="1468"/>
    <col min="15621" max="15621" width="5.140625" style="1468" bestFit="1" customWidth="1"/>
    <col min="15622" max="15622" width="3.42578125" style="1468" customWidth="1"/>
    <col min="15623" max="15623" width="38.7109375" style="1468" customWidth="1"/>
    <col min="15624" max="15624" width="10.140625" style="1468" customWidth="1"/>
    <col min="15625" max="15625" width="5" style="1468" customWidth="1"/>
    <col min="15626" max="15626" width="6.140625" style="1468" customWidth="1"/>
    <col min="15627" max="15627" width="8.5703125" style="1468" customWidth="1"/>
    <col min="15628" max="15628" width="15.28515625" style="1468" customWidth="1"/>
    <col min="15629" max="15876" width="9.140625" style="1468"/>
    <col min="15877" max="15877" width="5.140625" style="1468" bestFit="1" customWidth="1"/>
    <col min="15878" max="15878" width="3.42578125" style="1468" customWidth="1"/>
    <col min="15879" max="15879" width="38.7109375" style="1468" customWidth="1"/>
    <col min="15880" max="15880" width="10.140625" style="1468" customWidth="1"/>
    <col min="15881" max="15881" width="5" style="1468" customWidth="1"/>
    <col min="15882" max="15882" width="6.140625" style="1468" customWidth="1"/>
    <col min="15883" max="15883" width="8.5703125" style="1468" customWidth="1"/>
    <col min="15884" max="15884" width="15.28515625" style="1468" customWidth="1"/>
    <col min="15885" max="16132" width="9.140625" style="1468"/>
    <col min="16133" max="16133" width="5.140625" style="1468" bestFit="1" customWidth="1"/>
    <col min="16134" max="16134" width="3.42578125" style="1468" customWidth="1"/>
    <col min="16135" max="16135" width="38.7109375" style="1468" customWidth="1"/>
    <col min="16136" max="16136" width="10.140625" style="1468" customWidth="1"/>
    <col min="16137" max="16137" width="5" style="1468" customWidth="1"/>
    <col min="16138" max="16138" width="6.140625" style="1468" customWidth="1"/>
    <col min="16139" max="16139" width="8.5703125" style="1468" customWidth="1"/>
    <col min="16140" max="16140" width="15.28515625" style="1468" customWidth="1"/>
    <col min="16141" max="16384" width="9.140625" style="1468"/>
  </cols>
  <sheetData>
    <row r="1" spans="1:16">
      <c r="C1" s="1465"/>
    </row>
    <row r="2" spans="1:16" s="1472" customFormat="1" ht="18.75">
      <c r="A2" s="1470"/>
      <c r="B2" s="1470"/>
      <c r="C2" s="2194" t="s">
        <v>0</v>
      </c>
      <c r="D2" s="2194"/>
      <c r="E2" s="2194"/>
      <c r="F2" s="2194"/>
      <c r="G2" s="2194"/>
      <c r="H2" s="2194"/>
      <c r="I2" s="2194"/>
      <c r="J2" s="2194"/>
      <c r="K2" s="2194"/>
      <c r="L2" s="2194"/>
      <c r="M2" s="2194"/>
      <c r="N2" s="2194"/>
      <c r="O2" s="1471"/>
      <c r="P2" s="1470"/>
    </row>
    <row r="3" spans="1:16" s="1472" customFormat="1" ht="18.75">
      <c r="A3" s="1470"/>
      <c r="B3" s="1470"/>
      <c r="C3" s="2194" t="s">
        <v>2898</v>
      </c>
      <c r="D3" s="2194"/>
      <c r="E3" s="2194"/>
      <c r="F3" s="2194"/>
      <c r="G3" s="2194"/>
      <c r="H3" s="2194"/>
      <c r="I3" s="2194"/>
      <c r="J3" s="2194"/>
      <c r="K3" s="2194"/>
      <c r="L3" s="2194"/>
      <c r="M3" s="2194"/>
      <c r="N3" s="2194"/>
      <c r="O3" s="1471"/>
      <c r="P3" s="1470"/>
    </row>
    <row r="4" spans="1:16" s="1472" customFormat="1" ht="18.75">
      <c r="A4" s="1470"/>
      <c r="B4" s="1470"/>
      <c r="C4" s="2194" t="s">
        <v>2</v>
      </c>
      <c r="D4" s="2194"/>
      <c r="E4" s="2194"/>
      <c r="F4" s="2194"/>
      <c r="G4" s="2194"/>
      <c r="H4" s="2194"/>
      <c r="I4" s="2194"/>
      <c r="J4" s="2194"/>
      <c r="K4" s="2194"/>
      <c r="L4" s="2194"/>
      <c r="M4" s="2194"/>
      <c r="N4" s="2194"/>
      <c r="O4" s="1471"/>
      <c r="P4" s="1470"/>
    </row>
    <row r="5" spans="1:16">
      <c r="A5" s="2195"/>
      <c r="B5" s="2195"/>
      <c r="C5" s="2195"/>
      <c r="D5" s="2195"/>
      <c r="E5" s="2195"/>
      <c r="F5" s="2195"/>
      <c r="G5" s="2195"/>
      <c r="H5" s="2195"/>
      <c r="I5" s="2195"/>
      <c r="J5" s="2195"/>
      <c r="K5" s="1473"/>
      <c r="L5" s="1473"/>
      <c r="N5" s="1474" t="s">
        <v>2899</v>
      </c>
    </row>
    <row r="6" spans="1:16">
      <c r="A6" s="2196" t="s">
        <v>2900</v>
      </c>
      <c r="B6" s="2196"/>
      <c r="C6" s="2196"/>
      <c r="D6" s="2196"/>
      <c r="E6" s="2196"/>
      <c r="F6" s="2196"/>
      <c r="G6" s="2196"/>
      <c r="H6" s="2196"/>
      <c r="I6" s="2196"/>
      <c r="J6" s="2196"/>
      <c r="K6" s="2196"/>
      <c r="L6" s="1475"/>
    </row>
    <row r="7" spans="1:16">
      <c r="C7" s="1465"/>
    </row>
    <row r="8" spans="1:16" ht="27">
      <c r="A8" s="2197" t="s">
        <v>2901</v>
      </c>
      <c r="B8" s="2199" t="s">
        <v>2902</v>
      </c>
      <c r="C8" s="2201" t="s">
        <v>2607</v>
      </c>
      <c r="D8" s="2203" t="s">
        <v>2608</v>
      </c>
      <c r="E8" s="2199" t="s">
        <v>2609</v>
      </c>
      <c r="F8" s="2205" t="s">
        <v>2903</v>
      </c>
      <c r="G8" s="2206"/>
      <c r="H8" s="2207"/>
      <c r="I8" s="2205" t="s">
        <v>2904</v>
      </c>
      <c r="J8" s="2206"/>
      <c r="K8" s="2207"/>
      <c r="L8" s="1476" t="s">
        <v>2905</v>
      </c>
      <c r="M8" s="2197" t="s">
        <v>2906</v>
      </c>
      <c r="N8" s="2208" t="s">
        <v>2907</v>
      </c>
    </row>
    <row r="9" spans="1:16">
      <c r="A9" s="2198"/>
      <c r="B9" s="2200"/>
      <c r="C9" s="2202"/>
      <c r="D9" s="2204"/>
      <c r="E9" s="2200"/>
      <c r="F9" s="1477" t="s">
        <v>2908</v>
      </c>
      <c r="G9" s="1476" t="s">
        <v>2611</v>
      </c>
      <c r="H9" s="1476" t="s">
        <v>2612</v>
      </c>
      <c r="I9" s="1477" t="s">
        <v>2908</v>
      </c>
      <c r="J9" s="1476" t="s">
        <v>2611</v>
      </c>
      <c r="K9" s="1478" t="s">
        <v>2612</v>
      </c>
      <c r="L9" s="1479"/>
      <c r="M9" s="2198"/>
      <c r="N9" s="2209"/>
    </row>
    <row r="10" spans="1:16" ht="18">
      <c r="A10" s="1480">
        <v>1</v>
      </c>
      <c r="B10" s="1481">
        <v>1</v>
      </c>
      <c r="C10" s="1482" t="s">
        <v>2909</v>
      </c>
      <c r="D10" s="1483" t="s">
        <v>2910</v>
      </c>
      <c r="E10" s="1484" t="s">
        <v>977</v>
      </c>
      <c r="F10" s="1485">
        <v>30000</v>
      </c>
      <c r="G10" s="1485">
        <v>41400</v>
      </c>
      <c r="H10" s="1485">
        <f>F10*G10</f>
        <v>1242000000</v>
      </c>
      <c r="I10" s="1485">
        <v>30000</v>
      </c>
      <c r="J10" s="1486">
        <v>43500</v>
      </c>
      <c r="K10" s="1486">
        <f>I10*J10</f>
        <v>1305000000</v>
      </c>
      <c r="L10" s="1486">
        <f>J10-G10</f>
        <v>2100</v>
      </c>
      <c r="M10" s="1483" t="s">
        <v>2911</v>
      </c>
      <c r="N10" s="1487" t="s">
        <v>2912</v>
      </c>
    </row>
    <row r="11" spans="1:16" ht="18">
      <c r="A11" s="1488">
        <v>2</v>
      </c>
      <c r="B11" s="1489">
        <v>2</v>
      </c>
      <c r="C11" s="1490" t="s">
        <v>2913</v>
      </c>
      <c r="D11" s="1491" t="s">
        <v>2910</v>
      </c>
      <c r="E11" s="1492" t="s">
        <v>977</v>
      </c>
      <c r="F11" s="1493">
        <v>18000</v>
      </c>
      <c r="G11" s="1493">
        <v>21500</v>
      </c>
      <c r="H11" s="1493">
        <f>F11*G11</f>
        <v>387000000</v>
      </c>
      <c r="I11" s="1493">
        <v>18000</v>
      </c>
      <c r="J11" s="1494">
        <v>23000</v>
      </c>
      <c r="K11" s="1494">
        <f>I11*J11</f>
        <v>414000000</v>
      </c>
      <c r="L11" s="1494">
        <f t="shared" ref="L11:L12" si="0">J11-G11</f>
        <v>1500</v>
      </c>
      <c r="M11" s="1491" t="s">
        <v>2911</v>
      </c>
      <c r="N11" s="1487" t="s">
        <v>2912</v>
      </c>
    </row>
    <row r="12" spans="1:16" ht="18">
      <c r="A12" s="1488">
        <v>3</v>
      </c>
      <c r="B12" s="1489">
        <v>3</v>
      </c>
      <c r="C12" s="1495" t="s">
        <v>2914</v>
      </c>
      <c r="D12" s="1496" t="s">
        <v>2910</v>
      </c>
      <c r="E12" s="1497" t="s">
        <v>977</v>
      </c>
      <c r="F12" s="1498">
        <v>50000</v>
      </c>
      <c r="G12" s="1498">
        <v>27000</v>
      </c>
      <c r="H12" s="1498">
        <f>F12*G12</f>
        <v>1350000000</v>
      </c>
      <c r="I12" s="1498">
        <v>50000</v>
      </c>
      <c r="J12" s="1499">
        <v>28500</v>
      </c>
      <c r="K12" s="1499">
        <f>I12*J12</f>
        <v>1425000000</v>
      </c>
      <c r="L12" s="1499">
        <f t="shared" si="0"/>
        <v>1500</v>
      </c>
      <c r="M12" s="1500" t="s">
        <v>2911</v>
      </c>
      <c r="N12" s="1487" t="s">
        <v>2912</v>
      </c>
    </row>
    <row r="13" spans="1:16">
      <c r="A13" s="1501"/>
      <c r="B13" s="1502"/>
      <c r="C13" s="1503" t="s">
        <v>958</v>
      </c>
      <c r="D13" s="1504"/>
      <c r="E13" s="1505"/>
      <c r="F13" s="1506"/>
      <c r="G13" s="1506"/>
      <c r="H13" s="1507">
        <f>SUM(H10:H12)</f>
        <v>2979000000</v>
      </c>
      <c r="I13" s="1508"/>
      <c r="J13" s="1509"/>
      <c r="K13" s="1507">
        <f>SUM(K10:K12)</f>
        <v>3144000000</v>
      </c>
      <c r="L13" s="1507"/>
      <c r="M13" s="1510"/>
      <c r="N13" s="1511"/>
    </row>
    <row r="14" spans="1:16">
      <c r="A14" s="1512"/>
      <c r="B14" s="1513"/>
      <c r="C14" s="1514"/>
      <c r="D14" s="1515"/>
      <c r="E14" s="1513"/>
      <c r="F14" s="1516"/>
      <c r="G14" s="1516"/>
      <c r="H14" s="1516"/>
      <c r="I14" s="1517"/>
      <c r="J14" s="1518"/>
      <c r="K14" s="1518"/>
      <c r="L14" s="1518"/>
    </row>
    <row r="15" spans="1:16">
      <c r="C15" s="1465"/>
    </row>
    <row r="16" spans="1:16">
      <c r="A16" s="2196" t="s">
        <v>2915</v>
      </c>
      <c r="B16" s="2196"/>
      <c r="C16" s="2196"/>
      <c r="D16" s="2196"/>
      <c r="E16" s="2196"/>
      <c r="F16" s="2196"/>
      <c r="G16" s="2196"/>
      <c r="H16" s="2196"/>
      <c r="I16" s="2196"/>
      <c r="J16" s="2196"/>
      <c r="K16" s="2196"/>
      <c r="L16" s="1475"/>
    </row>
    <row r="17" spans="1:14">
      <c r="C17" s="1465"/>
    </row>
    <row r="18" spans="1:14" ht="63.75">
      <c r="A18" s="2197" t="s">
        <v>2901</v>
      </c>
      <c r="B18" s="2199" t="s">
        <v>2902</v>
      </c>
      <c r="C18" s="2201" t="s">
        <v>2607</v>
      </c>
      <c r="D18" s="2203" t="s">
        <v>2608</v>
      </c>
      <c r="E18" s="2199" t="s">
        <v>2609</v>
      </c>
      <c r="F18" s="1519" t="s">
        <v>2903</v>
      </c>
      <c r="G18" s="1519"/>
      <c r="H18" s="1519"/>
      <c r="I18" s="1519" t="s">
        <v>2904</v>
      </c>
      <c r="J18" s="1519"/>
      <c r="K18" s="1519"/>
      <c r="L18" s="2203" t="s">
        <v>2905</v>
      </c>
      <c r="M18" s="2197" t="s">
        <v>2906</v>
      </c>
      <c r="N18" s="2208" t="s">
        <v>2907</v>
      </c>
    </row>
    <row r="19" spans="1:14">
      <c r="A19" s="2198"/>
      <c r="B19" s="2200"/>
      <c r="C19" s="2210"/>
      <c r="D19" s="2211"/>
      <c r="E19" s="2200"/>
      <c r="F19" s="1519" t="s">
        <v>2908</v>
      </c>
      <c r="G19" s="1519" t="s">
        <v>2611</v>
      </c>
      <c r="H19" s="1519" t="s">
        <v>2612</v>
      </c>
      <c r="I19" s="1519" t="s">
        <v>2908</v>
      </c>
      <c r="J19" s="1519" t="s">
        <v>2611</v>
      </c>
      <c r="K19" s="1519" t="s">
        <v>2612</v>
      </c>
      <c r="L19" s="2211"/>
      <c r="M19" s="2198"/>
      <c r="N19" s="2209"/>
    </row>
    <row r="20" spans="1:14">
      <c r="A20" s="1520">
        <v>4</v>
      </c>
      <c r="B20" s="1521">
        <v>1</v>
      </c>
      <c r="C20" s="1522" t="s">
        <v>2916</v>
      </c>
      <c r="D20" s="1523" t="s">
        <v>2917</v>
      </c>
      <c r="E20" s="1524" t="s">
        <v>977</v>
      </c>
      <c r="F20" s="1519">
        <v>30000</v>
      </c>
      <c r="G20" s="1519">
        <v>45990</v>
      </c>
      <c r="H20" s="1519">
        <f>+F20*G20</f>
        <v>1379700000</v>
      </c>
      <c r="I20" s="1519">
        <v>30000</v>
      </c>
      <c r="J20" s="1519">
        <v>57600</v>
      </c>
      <c r="K20" s="1519">
        <f>I20*J20</f>
        <v>1728000000</v>
      </c>
      <c r="L20" s="1519">
        <f t="shared" ref="L20:L22" si="1">J20-G20</f>
        <v>11610</v>
      </c>
      <c r="M20" s="1519" t="s">
        <v>2918</v>
      </c>
      <c r="N20" s="1525" t="s">
        <v>2919</v>
      </c>
    </row>
    <row r="21" spans="1:14">
      <c r="A21" s="1526">
        <v>5</v>
      </c>
      <c r="B21" s="1527">
        <v>2</v>
      </c>
      <c r="C21" s="1528" t="s">
        <v>2920</v>
      </c>
      <c r="D21" s="1529" t="s">
        <v>2917</v>
      </c>
      <c r="E21" s="1530" t="s">
        <v>977</v>
      </c>
      <c r="F21" s="1531">
        <v>18000</v>
      </c>
      <c r="G21" s="1531">
        <v>22995</v>
      </c>
      <c r="H21" s="1531">
        <f>+F21*G21</f>
        <v>413910000</v>
      </c>
      <c r="I21" s="1531">
        <v>18000</v>
      </c>
      <c r="J21" s="1531">
        <v>28200</v>
      </c>
      <c r="K21" s="1531">
        <f>I21*J21</f>
        <v>507600000</v>
      </c>
      <c r="L21" s="1531">
        <f t="shared" si="1"/>
        <v>5205</v>
      </c>
      <c r="M21" s="1531" t="s">
        <v>2918</v>
      </c>
      <c r="N21" s="1532" t="s">
        <v>2919</v>
      </c>
    </row>
    <row r="22" spans="1:14">
      <c r="A22" s="1526">
        <v>6</v>
      </c>
      <c r="B22" s="1527">
        <v>3</v>
      </c>
      <c r="C22" s="1528" t="s">
        <v>2921</v>
      </c>
      <c r="D22" s="1529" t="s">
        <v>2917</v>
      </c>
      <c r="E22" s="1530" t="s">
        <v>977</v>
      </c>
      <c r="F22" s="1533">
        <v>60000</v>
      </c>
      <c r="G22" s="1533">
        <v>28980</v>
      </c>
      <c r="H22" s="1533">
        <f>+F22*G22</f>
        <v>1738800000</v>
      </c>
      <c r="I22" s="1533">
        <v>60000</v>
      </c>
      <c r="J22" s="1533">
        <v>34200</v>
      </c>
      <c r="K22" s="1533">
        <f>I22*J22</f>
        <v>2052000000</v>
      </c>
      <c r="L22" s="1533">
        <f t="shared" si="1"/>
        <v>5220</v>
      </c>
      <c r="M22" s="1533"/>
      <c r="N22" s="1534" t="s">
        <v>2919</v>
      </c>
    </row>
    <row r="23" spans="1:14">
      <c r="A23" s="1501"/>
      <c r="B23" s="1502"/>
      <c r="C23" s="1535" t="s">
        <v>958</v>
      </c>
      <c r="D23" s="1536"/>
      <c r="E23" s="1502"/>
      <c r="F23" s="1537"/>
      <c r="G23" s="1537"/>
      <c r="H23" s="1538">
        <f>SUM(H20:H22)</f>
        <v>3532410000</v>
      </c>
      <c r="I23" s="1537"/>
      <c r="J23" s="1537"/>
      <c r="K23" s="1538">
        <f>SUM(K20:K22)</f>
        <v>4287600000</v>
      </c>
      <c r="L23" s="1537"/>
      <c r="M23" s="1537"/>
      <c r="N23" s="1477"/>
    </row>
    <row r="24" spans="1:14">
      <c r="A24" s="1512"/>
      <c r="B24" s="1513"/>
      <c r="C24" s="1514"/>
      <c r="D24" s="1515"/>
      <c r="E24" s="1513"/>
      <c r="F24" s="1516"/>
      <c r="G24" s="1516"/>
      <c r="H24" s="1516"/>
      <c r="I24" s="1517"/>
      <c r="J24" s="1518"/>
      <c r="K24" s="1518"/>
      <c r="L24" s="1518"/>
    </row>
    <row r="25" spans="1:14">
      <c r="A25" s="1512"/>
      <c r="B25" s="1513"/>
      <c r="C25" s="1514"/>
      <c r="D25" s="1515"/>
      <c r="E25" s="1513"/>
      <c r="F25" s="1516"/>
      <c r="G25" s="1516"/>
      <c r="H25" s="1516"/>
      <c r="I25" s="1517"/>
      <c r="J25" s="1518"/>
      <c r="K25" s="1518"/>
      <c r="L25" s="1518"/>
    </row>
    <row r="26" spans="1:14">
      <c r="A26" s="2196" t="s">
        <v>2922</v>
      </c>
      <c r="B26" s="2196"/>
      <c r="C26" s="2196"/>
      <c r="D26" s="2196"/>
      <c r="E26" s="2196"/>
      <c r="F26" s="2196"/>
      <c r="G26" s="2196"/>
      <c r="H26" s="2196"/>
      <c r="I26" s="2196"/>
      <c r="J26" s="2196"/>
      <c r="K26" s="2196"/>
      <c r="L26" s="1475"/>
    </row>
    <row r="27" spans="1:14">
      <c r="C27" s="1465"/>
    </row>
    <row r="28" spans="1:14">
      <c r="A28" s="2197" t="s">
        <v>2901</v>
      </c>
      <c r="B28" s="2199" t="s">
        <v>2902</v>
      </c>
      <c r="C28" s="2201" t="s">
        <v>2607</v>
      </c>
      <c r="D28" s="2203" t="s">
        <v>2608</v>
      </c>
      <c r="E28" s="2199" t="s">
        <v>2609</v>
      </c>
      <c r="F28" s="2205" t="s">
        <v>2903</v>
      </c>
      <c r="G28" s="2206"/>
      <c r="H28" s="2207"/>
      <c r="I28" s="2205" t="s">
        <v>2904</v>
      </c>
      <c r="J28" s="2206"/>
      <c r="K28" s="2207"/>
      <c r="L28" s="2212" t="s">
        <v>2905</v>
      </c>
      <c r="M28" s="2197" t="s">
        <v>2906</v>
      </c>
      <c r="N28" s="2208" t="s">
        <v>2907</v>
      </c>
    </row>
    <row r="29" spans="1:14">
      <c r="A29" s="2198"/>
      <c r="B29" s="2200"/>
      <c r="C29" s="2210"/>
      <c r="D29" s="2211"/>
      <c r="E29" s="2200"/>
      <c r="F29" s="1477" t="s">
        <v>2908</v>
      </c>
      <c r="G29" s="1476" t="s">
        <v>2611</v>
      </c>
      <c r="H29" s="1476" t="s">
        <v>2612</v>
      </c>
      <c r="I29" s="1477" t="s">
        <v>2908</v>
      </c>
      <c r="J29" s="1476" t="s">
        <v>2611</v>
      </c>
      <c r="K29" s="1478" t="s">
        <v>2612</v>
      </c>
      <c r="L29" s="2212"/>
      <c r="M29" s="2198"/>
      <c r="N29" s="2209"/>
    </row>
    <row r="30" spans="1:14" ht="18">
      <c r="A30" s="1520">
        <v>7</v>
      </c>
      <c r="B30" s="1521">
        <v>1</v>
      </c>
      <c r="C30" s="1522" t="s">
        <v>2923</v>
      </c>
      <c r="D30" s="1523" t="s">
        <v>2917</v>
      </c>
      <c r="E30" s="1524" t="s">
        <v>977</v>
      </c>
      <c r="F30" s="1531">
        <v>30000</v>
      </c>
      <c r="G30" s="1531">
        <v>45675</v>
      </c>
      <c r="H30" s="1531">
        <f>F30*G30</f>
        <v>1370250000</v>
      </c>
      <c r="I30" s="1531">
        <v>30000</v>
      </c>
      <c r="J30" s="1531">
        <v>46000</v>
      </c>
      <c r="K30" s="1531">
        <f>I30*J30</f>
        <v>1380000000</v>
      </c>
      <c r="L30" s="1539">
        <f t="shared" ref="L30:L32" si="2">J30-G30</f>
        <v>325</v>
      </c>
      <c r="M30" s="1531" t="s">
        <v>2924</v>
      </c>
      <c r="N30" s="1532" t="s">
        <v>2925</v>
      </c>
    </row>
    <row r="31" spans="1:14" ht="18">
      <c r="A31" s="1526">
        <v>8</v>
      </c>
      <c r="B31" s="1527">
        <v>2</v>
      </c>
      <c r="C31" s="1528" t="s">
        <v>2926</v>
      </c>
      <c r="D31" s="1529" t="s">
        <v>2917</v>
      </c>
      <c r="E31" s="1530" t="s">
        <v>977</v>
      </c>
      <c r="F31" s="1531">
        <v>18000</v>
      </c>
      <c r="G31" s="1531">
        <v>20475</v>
      </c>
      <c r="H31" s="1531">
        <f>F31*G31</f>
        <v>368550000</v>
      </c>
      <c r="I31" s="1531">
        <v>18000</v>
      </c>
      <c r="J31" s="1531">
        <v>21000</v>
      </c>
      <c r="K31" s="1531">
        <f>I31*J31</f>
        <v>378000000</v>
      </c>
      <c r="L31" s="1531">
        <f t="shared" si="2"/>
        <v>525</v>
      </c>
      <c r="M31" s="1531" t="s">
        <v>2927</v>
      </c>
      <c r="N31" s="1532" t="s">
        <v>2925</v>
      </c>
    </row>
    <row r="32" spans="1:14" ht="18">
      <c r="A32" s="1540">
        <v>9</v>
      </c>
      <c r="B32" s="1541">
        <v>3</v>
      </c>
      <c r="C32" s="1542" t="s">
        <v>2928</v>
      </c>
      <c r="D32" s="1543" t="s">
        <v>2917</v>
      </c>
      <c r="E32" s="1544" t="s">
        <v>977</v>
      </c>
      <c r="F32" s="1531">
        <v>50000</v>
      </c>
      <c r="G32" s="1531">
        <v>26775</v>
      </c>
      <c r="H32" s="1531">
        <f>F32*G32</f>
        <v>1338750000</v>
      </c>
      <c r="I32" s="1531">
        <v>50000</v>
      </c>
      <c r="J32" s="1545">
        <v>27000</v>
      </c>
      <c r="K32" s="1545">
        <f>I32*J32</f>
        <v>1350000000</v>
      </c>
      <c r="L32" s="1545">
        <f t="shared" si="2"/>
        <v>225</v>
      </c>
      <c r="M32" s="1545" t="s">
        <v>2929</v>
      </c>
      <c r="N32" s="1532" t="s">
        <v>2925</v>
      </c>
    </row>
    <row r="33" spans="1:14">
      <c r="A33" s="1501"/>
      <c r="B33" s="1502"/>
      <c r="C33" s="1535" t="s">
        <v>958</v>
      </c>
      <c r="D33" s="1546"/>
      <c r="E33" s="1502"/>
      <c r="F33" s="1547"/>
      <c r="G33" s="1547"/>
      <c r="H33" s="1507">
        <f>SUM(H30:H32)</f>
        <v>3077550000</v>
      </c>
      <c r="I33" s="1548"/>
      <c r="J33" s="1549"/>
      <c r="K33" s="1507">
        <f>SUM(K30:K32)</f>
        <v>3108000000</v>
      </c>
      <c r="L33" s="1507"/>
      <c r="M33" s="1510"/>
      <c r="N33" s="1511"/>
    </row>
    <row r="34" spans="1:14" s="1552" customFormat="1">
      <c r="A34" s="1512"/>
      <c r="B34" s="1513"/>
      <c r="C34" s="1514"/>
      <c r="D34" s="1550"/>
      <c r="E34" s="1513"/>
      <c r="F34" s="1516"/>
      <c r="G34" s="1516"/>
      <c r="H34" s="1551"/>
      <c r="I34" s="1517"/>
      <c r="J34" s="1518"/>
      <c r="K34" s="1551"/>
      <c r="L34" s="1551"/>
      <c r="N34" s="1553"/>
    </row>
    <row r="35" spans="1:14" s="1552" customFormat="1">
      <c r="A35" s="1512"/>
      <c r="B35" s="1513"/>
      <c r="C35" s="1514"/>
      <c r="D35" s="1550"/>
      <c r="E35" s="1513"/>
      <c r="F35" s="1516"/>
      <c r="G35" s="1516"/>
      <c r="H35" s="1551"/>
      <c r="I35" s="1517"/>
      <c r="J35" s="1518"/>
      <c r="K35" s="1551"/>
      <c r="L35" s="1551"/>
      <c r="N35" s="1553"/>
    </row>
    <row r="36" spans="1:14">
      <c r="A36" s="1512"/>
      <c r="B36" s="1513"/>
      <c r="C36" s="1514"/>
      <c r="D36" s="1550"/>
      <c r="E36" s="1513"/>
      <c r="F36" s="1516"/>
      <c r="G36" s="1516"/>
      <c r="H36" s="1516"/>
      <c r="I36" s="1517"/>
      <c r="J36" s="1518"/>
      <c r="K36" s="1518"/>
      <c r="L36" s="1518"/>
    </row>
    <row r="37" spans="1:14">
      <c r="A37" s="1512"/>
      <c r="B37" s="1513"/>
      <c r="C37" s="1514"/>
      <c r="D37" s="1550"/>
      <c r="E37" s="1513"/>
      <c r="F37" s="1516"/>
      <c r="G37" s="1516"/>
      <c r="H37" s="1516"/>
      <c r="I37" s="1517"/>
      <c r="J37" s="1518"/>
      <c r="K37" s="1518"/>
      <c r="L37" s="1518"/>
    </row>
    <row r="38" spans="1:14">
      <c r="A38" s="2196" t="s">
        <v>2930</v>
      </c>
      <c r="B38" s="2196"/>
      <c r="C38" s="2196"/>
      <c r="D38" s="2196"/>
      <c r="E38" s="2196"/>
      <c r="F38" s="2196"/>
      <c r="G38" s="2196"/>
      <c r="H38" s="2196"/>
      <c r="I38" s="2196"/>
      <c r="J38" s="2196"/>
      <c r="K38" s="2196"/>
      <c r="L38" s="1475"/>
    </row>
    <row r="39" spans="1:14">
      <c r="C39" s="1465"/>
    </row>
    <row r="40" spans="1:14">
      <c r="A40" s="2197" t="s">
        <v>2901</v>
      </c>
      <c r="B40" s="2199" t="s">
        <v>2902</v>
      </c>
      <c r="C40" s="2201" t="s">
        <v>2607</v>
      </c>
      <c r="D40" s="2203" t="s">
        <v>2608</v>
      </c>
      <c r="E40" s="2199" t="s">
        <v>2609</v>
      </c>
      <c r="F40" s="2205" t="s">
        <v>2903</v>
      </c>
      <c r="G40" s="2206"/>
      <c r="H40" s="2207"/>
      <c r="I40" s="2205" t="s">
        <v>2904</v>
      </c>
      <c r="J40" s="2206"/>
      <c r="K40" s="2207"/>
      <c r="L40" s="2212" t="s">
        <v>2905</v>
      </c>
      <c r="M40" s="2197" t="s">
        <v>2906</v>
      </c>
      <c r="N40" s="2208" t="s">
        <v>2907</v>
      </c>
    </row>
    <row r="41" spans="1:14">
      <c r="A41" s="2198"/>
      <c r="B41" s="2200"/>
      <c r="C41" s="2210"/>
      <c r="D41" s="2211"/>
      <c r="E41" s="2200"/>
      <c r="F41" s="1477" t="s">
        <v>2908</v>
      </c>
      <c r="G41" s="1476" t="s">
        <v>2611</v>
      </c>
      <c r="H41" s="1476" t="s">
        <v>2612</v>
      </c>
      <c r="I41" s="1477" t="s">
        <v>2908</v>
      </c>
      <c r="J41" s="1476" t="s">
        <v>2611</v>
      </c>
      <c r="K41" s="1478" t="s">
        <v>2612</v>
      </c>
      <c r="L41" s="2212"/>
      <c r="M41" s="2198"/>
      <c r="N41" s="2209"/>
    </row>
    <row r="42" spans="1:14">
      <c r="A42" s="1480">
        <v>10</v>
      </c>
      <c r="B42" s="1554">
        <v>1</v>
      </c>
      <c r="C42" s="1555" t="s">
        <v>2931</v>
      </c>
      <c r="D42" s="1556" t="s">
        <v>214</v>
      </c>
      <c r="E42" s="1556" t="s">
        <v>209</v>
      </c>
      <c r="F42" s="1557">
        <v>1500</v>
      </c>
      <c r="G42" s="1557">
        <v>76440</v>
      </c>
      <c r="H42" s="1557">
        <f t="shared" ref="H42:H55" si="3">F42*G42</f>
        <v>114660000</v>
      </c>
      <c r="I42" s="1558">
        <v>1500</v>
      </c>
      <c r="J42" s="1559">
        <v>76440</v>
      </c>
      <c r="K42" s="1560">
        <f t="shared" ref="K42:K55" si="4">I42*J42</f>
        <v>114660000</v>
      </c>
      <c r="L42" s="1561">
        <f t="shared" ref="L42:L55" si="5">J42-G42</f>
        <v>0</v>
      </c>
      <c r="M42" s="1560" t="s">
        <v>2932</v>
      </c>
      <c r="N42" s="1562" t="s">
        <v>2933</v>
      </c>
    </row>
    <row r="43" spans="1:14">
      <c r="A43" s="1488">
        <v>11</v>
      </c>
      <c r="B43" s="1563">
        <v>2</v>
      </c>
      <c r="C43" s="1564" t="s">
        <v>2934</v>
      </c>
      <c r="D43" s="1565" t="s">
        <v>2935</v>
      </c>
      <c r="E43" s="1565" t="s">
        <v>178</v>
      </c>
      <c r="F43" s="1566">
        <v>8000</v>
      </c>
      <c r="G43" s="1566">
        <v>70770</v>
      </c>
      <c r="H43" s="1566">
        <f t="shared" si="3"/>
        <v>566160000</v>
      </c>
      <c r="I43" s="1567">
        <v>8000</v>
      </c>
      <c r="J43" s="1568">
        <v>71504</v>
      </c>
      <c r="K43" s="1560">
        <f t="shared" si="4"/>
        <v>572032000</v>
      </c>
      <c r="L43" s="1560">
        <f t="shared" si="5"/>
        <v>734</v>
      </c>
      <c r="M43" s="1560" t="s">
        <v>2936</v>
      </c>
      <c r="N43" s="1562" t="s">
        <v>2933</v>
      </c>
    </row>
    <row r="44" spans="1:14" ht="18.75">
      <c r="A44" s="1488">
        <v>12</v>
      </c>
      <c r="B44" s="1563">
        <v>3</v>
      </c>
      <c r="C44" s="1564" t="s">
        <v>2937</v>
      </c>
      <c r="D44" s="1565" t="s">
        <v>2938</v>
      </c>
      <c r="E44" s="1565" t="s">
        <v>209</v>
      </c>
      <c r="F44" s="1566">
        <v>80000</v>
      </c>
      <c r="G44" s="1566">
        <v>11823</v>
      </c>
      <c r="H44" s="1566">
        <f t="shared" si="3"/>
        <v>945840000</v>
      </c>
      <c r="I44" s="1567">
        <v>80000</v>
      </c>
      <c r="J44" s="1568">
        <v>11946</v>
      </c>
      <c r="K44" s="1560">
        <f t="shared" si="4"/>
        <v>955680000</v>
      </c>
      <c r="L44" s="1560">
        <f t="shared" si="5"/>
        <v>123</v>
      </c>
      <c r="M44" s="1560" t="s">
        <v>2939</v>
      </c>
      <c r="N44" s="1562" t="s">
        <v>2933</v>
      </c>
    </row>
    <row r="45" spans="1:14" ht="18.75">
      <c r="A45" s="1488">
        <v>13</v>
      </c>
      <c r="B45" s="1563">
        <v>4</v>
      </c>
      <c r="C45" s="1564" t="s">
        <v>2940</v>
      </c>
      <c r="D45" s="1569" t="s">
        <v>2941</v>
      </c>
      <c r="E45" s="1569" t="s">
        <v>1799</v>
      </c>
      <c r="F45" s="1566">
        <v>8000</v>
      </c>
      <c r="G45" s="1566">
        <v>378525</v>
      </c>
      <c r="H45" s="1566">
        <f t="shared" si="3"/>
        <v>3028200000</v>
      </c>
      <c r="I45" s="1567">
        <v>8000</v>
      </c>
      <c r="J45" s="1568">
        <v>382200</v>
      </c>
      <c r="K45" s="1560">
        <f t="shared" si="4"/>
        <v>3057600000</v>
      </c>
      <c r="L45" s="1560">
        <f t="shared" si="5"/>
        <v>3675</v>
      </c>
      <c r="M45" s="1560" t="s">
        <v>2942</v>
      </c>
      <c r="N45" s="1562" t="s">
        <v>2933</v>
      </c>
    </row>
    <row r="46" spans="1:14" ht="18.75">
      <c r="A46" s="1488">
        <v>14</v>
      </c>
      <c r="B46" s="1563">
        <v>5</v>
      </c>
      <c r="C46" s="1564" t="s">
        <v>2943</v>
      </c>
      <c r="D46" s="1569" t="s">
        <v>2944</v>
      </c>
      <c r="E46" s="1569" t="s">
        <v>1799</v>
      </c>
      <c r="F46" s="1566">
        <v>500</v>
      </c>
      <c r="G46" s="1566">
        <v>486675</v>
      </c>
      <c r="H46" s="1566">
        <f t="shared" si="3"/>
        <v>243337500</v>
      </c>
      <c r="I46" s="1567">
        <v>500</v>
      </c>
      <c r="J46" s="1568">
        <v>491400</v>
      </c>
      <c r="K46" s="1560">
        <f t="shared" si="4"/>
        <v>245700000</v>
      </c>
      <c r="L46" s="1560">
        <f t="shared" si="5"/>
        <v>4725</v>
      </c>
      <c r="M46" s="1560" t="s">
        <v>2945</v>
      </c>
      <c r="N46" s="1562" t="s">
        <v>2933</v>
      </c>
    </row>
    <row r="47" spans="1:14">
      <c r="A47" s="1488">
        <v>15</v>
      </c>
      <c r="B47" s="1563">
        <v>6</v>
      </c>
      <c r="C47" s="1570" t="s">
        <v>2946</v>
      </c>
      <c r="D47" s="1569" t="s">
        <v>2947</v>
      </c>
      <c r="E47" s="1569" t="s">
        <v>1799</v>
      </c>
      <c r="F47" s="1566">
        <v>10</v>
      </c>
      <c r="G47" s="1566">
        <v>1946700</v>
      </c>
      <c r="H47" s="1566">
        <f t="shared" si="3"/>
        <v>19467000</v>
      </c>
      <c r="I47" s="1493">
        <v>10</v>
      </c>
      <c r="J47" s="1571">
        <v>1965600</v>
      </c>
      <c r="K47" s="1560">
        <f t="shared" si="4"/>
        <v>19656000</v>
      </c>
      <c r="L47" s="1560">
        <f t="shared" si="5"/>
        <v>18900</v>
      </c>
      <c r="M47" s="1560" t="s">
        <v>2948</v>
      </c>
      <c r="N47" s="1562" t="s">
        <v>2933</v>
      </c>
    </row>
    <row r="48" spans="1:14">
      <c r="A48" s="1488">
        <v>16</v>
      </c>
      <c r="B48" s="1563">
        <v>7</v>
      </c>
      <c r="C48" s="1570" t="s">
        <v>2949</v>
      </c>
      <c r="D48" s="1569" t="s">
        <v>2950</v>
      </c>
      <c r="E48" s="1569" t="s">
        <v>192</v>
      </c>
      <c r="F48" s="1566">
        <v>500</v>
      </c>
      <c r="G48" s="1566">
        <v>173040</v>
      </c>
      <c r="H48" s="1566">
        <f t="shared" si="3"/>
        <v>86520000</v>
      </c>
      <c r="I48" s="1493">
        <v>500</v>
      </c>
      <c r="J48" s="1571">
        <v>174720</v>
      </c>
      <c r="K48" s="1560">
        <f t="shared" si="4"/>
        <v>87360000</v>
      </c>
      <c r="L48" s="1560">
        <f t="shared" si="5"/>
        <v>1680</v>
      </c>
      <c r="M48" s="1560" t="s">
        <v>2951</v>
      </c>
      <c r="N48" s="1562" t="s">
        <v>2933</v>
      </c>
    </row>
    <row r="49" spans="1:14" ht="18">
      <c r="A49" s="1488">
        <v>17</v>
      </c>
      <c r="B49" s="1563">
        <v>8</v>
      </c>
      <c r="C49" s="1570" t="s">
        <v>2952</v>
      </c>
      <c r="D49" s="1569" t="s">
        <v>2953</v>
      </c>
      <c r="E49" s="1569" t="s">
        <v>192</v>
      </c>
      <c r="F49" s="1566">
        <v>500</v>
      </c>
      <c r="G49" s="1566">
        <v>203910</v>
      </c>
      <c r="H49" s="1566">
        <f t="shared" si="3"/>
        <v>101955000</v>
      </c>
      <c r="I49" s="1493">
        <v>500</v>
      </c>
      <c r="J49" s="1571">
        <v>205907</v>
      </c>
      <c r="K49" s="1560">
        <f t="shared" si="4"/>
        <v>102953500</v>
      </c>
      <c r="L49" s="1560">
        <f t="shared" si="5"/>
        <v>1997</v>
      </c>
      <c r="M49" s="1560" t="s">
        <v>2954</v>
      </c>
      <c r="N49" s="1562" t="s">
        <v>2933</v>
      </c>
    </row>
    <row r="50" spans="1:14">
      <c r="A50" s="1488">
        <v>18</v>
      </c>
      <c r="B50" s="1563">
        <v>9</v>
      </c>
      <c r="C50" s="1570" t="s">
        <v>2955</v>
      </c>
      <c r="D50" s="1569" t="s">
        <v>2956</v>
      </c>
      <c r="E50" s="1569" t="s">
        <v>2957</v>
      </c>
      <c r="F50" s="1566">
        <v>500</v>
      </c>
      <c r="G50" s="1566">
        <v>173040</v>
      </c>
      <c r="H50" s="1566">
        <f t="shared" si="3"/>
        <v>86520000</v>
      </c>
      <c r="I50" s="1567">
        <v>500</v>
      </c>
      <c r="J50" s="1571">
        <v>174720</v>
      </c>
      <c r="K50" s="1560">
        <f t="shared" si="4"/>
        <v>87360000</v>
      </c>
      <c r="L50" s="1560">
        <f t="shared" si="5"/>
        <v>1680</v>
      </c>
      <c r="M50" s="1560" t="s">
        <v>2958</v>
      </c>
      <c r="N50" s="1562" t="s">
        <v>2933</v>
      </c>
    </row>
    <row r="51" spans="1:14">
      <c r="A51" s="1488">
        <v>19</v>
      </c>
      <c r="B51" s="1563">
        <v>10</v>
      </c>
      <c r="C51" s="1570" t="s">
        <v>2959</v>
      </c>
      <c r="D51" s="1569" t="s">
        <v>2956</v>
      </c>
      <c r="E51" s="1569" t="s">
        <v>2957</v>
      </c>
      <c r="F51" s="1566">
        <v>500</v>
      </c>
      <c r="G51" s="1566">
        <v>173040</v>
      </c>
      <c r="H51" s="1566">
        <f t="shared" si="3"/>
        <v>86520000</v>
      </c>
      <c r="I51" s="1567">
        <v>500</v>
      </c>
      <c r="J51" s="1571">
        <v>174720</v>
      </c>
      <c r="K51" s="1560">
        <f t="shared" si="4"/>
        <v>87360000</v>
      </c>
      <c r="L51" s="1560">
        <f t="shared" si="5"/>
        <v>1680</v>
      </c>
      <c r="M51" s="1560" t="s">
        <v>2960</v>
      </c>
      <c r="N51" s="1562" t="s">
        <v>2933</v>
      </c>
    </row>
    <row r="52" spans="1:14">
      <c r="A52" s="1488">
        <v>20</v>
      </c>
      <c r="B52" s="1563">
        <v>11</v>
      </c>
      <c r="C52" s="1570" t="s">
        <v>2961</v>
      </c>
      <c r="D52" s="1569" t="s">
        <v>1108</v>
      </c>
      <c r="E52" s="1569" t="s">
        <v>2957</v>
      </c>
      <c r="F52" s="1566">
        <v>60</v>
      </c>
      <c r="G52" s="1566">
        <v>1838550</v>
      </c>
      <c r="H52" s="1566">
        <f t="shared" si="3"/>
        <v>110313000</v>
      </c>
      <c r="I52" s="1567">
        <v>60</v>
      </c>
      <c r="J52" s="1571">
        <v>1856400</v>
      </c>
      <c r="K52" s="1560">
        <f t="shared" si="4"/>
        <v>111384000</v>
      </c>
      <c r="L52" s="1560">
        <f t="shared" si="5"/>
        <v>17850</v>
      </c>
      <c r="M52" s="1560" t="s">
        <v>2962</v>
      </c>
      <c r="N52" s="1562" t="s">
        <v>2933</v>
      </c>
    </row>
    <row r="53" spans="1:14">
      <c r="A53" s="1488">
        <v>21</v>
      </c>
      <c r="B53" s="1563">
        <v>12</v>
      </c>
      <c r="C53" s="1570" t="s">
        <v>2963</v>
      </c>
      <c r="D53" s="1572" t="s">
        <v>1108</v>
      </c>
      <c r="E53" s="1572" t="s">
        <v>2957</v>
      </c>
      <c r="F53" s="1566">
        <v>200</v>
      </c>
      <c r="G53" s="1566">
        <v>1838550</v>
      </c>
      <c r="H53" s="1566">
        <f t="shared" si="3"/>
        <v>367710000</v>
      </c>
      <c r="I53" s="1573">
        <v>200</v>
      </c>
      <c r="J53" s="1571">
        <v>1856400</v>
      </c>
      <c r="K53" s="1560">
        <f t="shared" si="4"/>
        <v>371280000</v>
      </c>
      <c r="L53" s="1560">
        <f t="shared" si="5"/>
        <v>17850</v>
      </c>
      <c r="M53" s="1560" t="s">
        <v>2964</v>
      </c>
      <c r="N53" s="1562" t="s">
        <v>2933</v>
      </c>
    </row>
    <row r="54" spans="1:14">
      <c r="A54" s="1488">
        <v>22</v>
      </c>
      <c r="B54" s="1563">
        <v>13</v>
      </c>
      <c r="C54" s="1570" t="s">
        <v>2965</v>
      </c>
      <c r="D54" s="1569" t="s">
        <v>2966</v>
      </c>
      <c r="E54" s="1569" t="s">
        <v>2967</v>
      </c>
      <c r="F54" s="1566">
        <v>38000</v>
      </c>
      <c r="G54" s="1566">
        <v>118965</v>
      </c>
      <c r="H54" s="1566">
        <f t="shared" si="3"/>
        <v>4520670000</v>
      </c>
      <c r="I54" s="1567">
        <v>38000</v>
      </c>
      <c r="J54" s="1571">
        <v>120120</v>
      </c>
      <c r="K54" s="1560">
        <f t="shared" si="4"/>
        <v>4564560000</v>
      </c>
      <c r="L54" s="1560">
        <f t="shared" si="5"/>
        <v>1155</v>
      </c>
      <c r="M54" s="1560" t="s">
        <v>2968</v>
      </c>
      <c r="N54" s="1562" t="s">
        <v>2933</v>
      </c>
    </row>
    <row r="55" spans="1:14">
      <c r="A55" s="1574">
        <v>23</v>
      </c>
      <c r="B55" s="1575">
        <v>14</v>
      </c>
      <c r="C55" s="1576" t="s">
        <v>2969</v>
      </c>
      <c r="D55" s="1577" t="s">
        <v>2970</v>
      </c>
      <c r="E55" s="1577" t="s">
        <v>2967</v>
      </c>
      <c r="F55" s="1578">
        <v>38000</v>
      </c>
      <c r="G55" s="1578">
        <v>41097</v>
      </c>
      <c r="H55" s="1578">
        <f t="shared" si="3"/>
        <v>1561686000</v>
      </c>
      <c r="I55" s="1579">
        <v>38000</v>
      </c>
      <c r="J55" s="1580">
        <v>41496</v>
      </c>
      <c r="K55" s="1560">
        <f t="shared" si="4"/>
        <v>1576848000</v>
      </c>
      <c r="L55" s="1560">
        <f t="shared" si="5"/>
        <v>399</v>
      </c>
      <c r="M55" s="1581" t="s">
        <v>2971</v>
      </c>
      <c r="N55" s="1582" t="s">
        <v>2933</v>
      </c>
    </row>
    <row r="56" spans="1:14">
      <c r="A56" s="1501"/>
      <c r="B56" s="1546"/>
      <c r="C56" s="1535" t="s">
        <v>958</v>
      </c>
      <c r="D56" s="1546"/>
      <c r="E56" s="1546"/>
      <c r="F56" s="1583"/>
      <c r="G56" s="1583"/>
      <c r="H56" s="1507">
        <f>SUM(H42:H55)</f>
        <v>11839558500</v>
      </c>
      <c r="I56" s="1548"/>
      <c r="J56" s="1584"/>
      <c r="K56" s="1547">
        <f>SUM(K42:K55)</f>
        <v>11954433500</v>
      </c>
      <c r="L56" s="1547"/>
      <c r="M56" s="1547"/>
      <c r="N56" s="1511"/>
    </row>
    <row r="57" spans="1:14">
      <c r="A57" s="1512"/>
      <c r="B57" s="1550"/>
      <c r="C57" s="1514"/>
      <c r="D57" s="1550"/>
      <c r="E57" s="1550"/>
      <c r="F57" s="1585"/>
      <c r="G57" s="1585"/>
      <c r="H57" s="1585"/>
      <c r="I57" s="1517"/>
      <c r="J57" s="1586"/>
      <c r="K57" s="1585"/>
      <c r="L57" s="1585"/>
    </row>
    <row r="58" spans="1:14">
      <c r="B58" s="1550"/>
      <c r="C58" s="1514"/>
      <c r="D58" s="1550"/>
      <c r="E58" s="1550"/>
      <c r="F58" s="1585"/>
      <c r="G58" s="1585"/>
      <c r="H58" s="1585"/>
    </row>
    <row r="59" spans="1:14">
      <c r="A59" s="2213" t="s">
        <v>2972</v>
      </c>
      <c r="B59" s="2213"/>
      <c r="C59" s="2213"/>
      <c r="D59" s="2213"/>
      <c r="E59" s="2213"/>
      <c r="F59" s="2213"/>
      <c r="G59" s="2213"/>
      <c r="H59" s="2213"/>
      <c r="I59" s="2213"/>
      <c r="J59" s="2213"/>
      <c r="K59" s="2213"/>
      <c r="L59" s="1587"/>
    </row>
    <row r="60" spans="1:14">
      <c r="B60" s="1515"/>
      <c r="C60" s="1588"/>
      <c r="D60" s="1515"/>
      <c r="E60" s="1515"/>
      <c r="F60" s="1589"/>
      <c r="G60" s="1589"/>
      <c r="H60" s="1589"/>
      <c r="J60" s="1590"/>
      <c r="K60" s="1590"/>
      <c r="L60" s="1590"/>
    </row>
    <row r="61" spans="1:14" ht="27">
      <c r="A61" s="2197" t="s">
        <v>2901</v>
      </c>
      <c r="B61" s="2199" t="s">
        <v>2902</v>
      </c>
      <c r="C61" s="2201" t="s">
        <v>2607</v>
      </c>
      <c r="D61" s="2203" t="s">
        <v>2608</v>
      </c>
      <c r="E61" s="2199" t="s">
        <v>2609</v>
      </c>
      <c r="F61" s="2205" t="s">
        <v>2903</v>
      </c>
      <c r="G61" s="2206"/>
      <c r="H61" s="2207"/>
      <c r="I61" s="2205" t="s">
        <v>2904</v>
      </c>
      <c r="J61" s="2206"/>
      <c r="K61" s="2207"/>
      <c r="L61" s="1476" t="s">
        <v>2905</v>
      </c>
      <c r="M61" s="2197" t="s">
        <v>2906</v>
      </c>
      <c r="N61" s="2208" t="s">
        <v>2907</v>
      </c>
    </row>
    <row r="62" spans="1:14">
      <c r="A62" s="2198"/>
      <c r="B62" s="2200"/>
      <c r="C62" s="2210"/>
      <c r="D62" s="2211"/>
      <c r="E62" s="2200"/>
      <c r="F62" s="1477" t="s">
        <v>2908</v>
      </c>
      <c r="G62" s="1476" t="s">
        <v>2611</v>
      </c>
      <c r="H62" s="1476" t="s">
        <v>2612</v>
      </c>
      <c r="I62" s="1477" t="s">
        <v>2908</v>
      </c>
      <c r="J62" s="1476" t="s">
        <v>2611</v>
      </c>
      <c r="K62" s="1478" t="s">
        <v>2612</v>
      </c>
      <c r="L62" s="1478"/>
      <c r="M62" s="2198"/>
      <c r="N62" s="2209"/>
    </row>
    <row r="63" spans="1:14">
      <c r="A63" s="1520">
        <v>24</v>
      </c>
      <c r="B63" s="1591">
        <v>1</v>
      </c>
      <c r="C63" s="1592" t="s">
        <v>2973</v>
      </c>
      <c r="D63" s="1523" t="s">
        <v>2974</v>
      </c>
      <c r="E63" s="1593" t="s">
        <v>2975</v>
      </c>
      <c r="F63" s="1594">
        <v>2</v>
      </c>
      <c r="G63" s="1594">
        <v>833700</v>
      </c>
      <c r="H63" s="1594">
        <f>G63*F63</f>
        <v>1667400</v>
      </c>
      <c r="I63" s="1594">
        <v>2</v>
      </c>
      <c r="J63" s="1594">
        <v>883722</v>
      </c>
      <c r="K63" s="1594">
        <f t="shared" ref="K63:K126" si="6">I63*J63</f>
        <v>1767444</v>
      </c>
      <c r="L63" s="1594">
        <f t="shared" ref="L63:L126" si="7">J63-G63</f>
        <v>50022</v>
      </c>
      <c r="M63" s="1595" t="s">
        <v>2976</v>
      </c>
      <c r="N63" s="1596" t="s">
        <v>2977</v>
      </c>
    </row>
    <row r="64" spans="1:14" ht="27">
      <c r="A64" s="1526">
        <v>25</v>
      </c>
      <c r="B64" s="1597">
        <v>2</v>
      </c>
      <c r="C64" s="1598" t="s">
        <v>2978</v>
      </c>
      <c r="D64" s="1529" t="s">
        <v>2979</v>
      </c>
      <c r="E64" s="1599" t="s">
        <v>2975</v>
      </c>
      <c r="F64" s="1600">
        <v>15</v>
      </c>
      <c r="G64" s="1600">
        <v>19377750</v>
      </c>
      <c r="H64" s="1600">
        <f t="shared" ref="H64:H127" si="8">G64*F64</f>
        <v>290666250</v>
      </c>
      <c r="I64" s="1600">
        <v>15</v>
      </c>
      <c r="J64" s="1600">
        <v>20137509</v>
      </c>
      <c r="K64" s="1600">
        <f t="shared" si="6"/>
        <v>302062635</v>
      </c>
      <c r="L64" s="1600">
        <f t="shared" si="7"/>
        <v>759759</v>
      </c>
      <c r="M64" s="1601" t="s">
        <v>2976</v>
      </c>
      <c r="N64" s="1562" t="s">
        <v>2977</v>
      </c>
    </row>
    <row r="65" spans="1:14">
      <c r="A65" s="1526">
        <v>26</v>
      </c>
      <c r="B65" s="1597">
        <v>3</v>
      </c>
      <c r="C65" s="1598" t="s">
        <v>2980</v>
      </c>
      <c r="D65" s="1529" t="s">
        <v>2981</v>
      </c>
      <c r="E65" s="1599" t="s">
        <v>2975</v>
      </c>
      <c r="F65" s="1599">
        <v>5</v>
      </c>
      <c r="G65" s="1599">
        <v>6039600</v>
      </c>
      <c r="H65" s="1599">
        <f t="shared" si="8"/>
        <v>30198000</v>
      </c>
      <c r="I65" s="1602">
        <v>5</v>
      </c>
      <c r="J65" s="1603">
        <v>6276207</v>
      </c>
      <c r="K65" s="1560">
        <f t="shared" si="6"/>
        <v>31381035</v>
      </c>
      <c r="L65" s="1560">
        <f t="shared" si="7"/>
        <v>236607</v>
      </c>
      <c r="M65" s="1560" t="s">
        <v>2976</v>
      </c>
      <c r="N65" s="1562" t="s">
        <v>2977</v>
      </c>
    </row>
    <row r="66" spans="1:14">
      <c r="A66" s="1526">
        <v>27</v>
      </c>
      <c r="B66" s="1597">
        <v>4</v>
      </c>
      <c r="C66" s="1598" t="s">
        <v>2982</v>
      </c>
      <c r="D66" s="1529" t="s">
        <v>2983</v>
      </c>
      <c r="E66" s="1599" t="s">
        <v>2975</v>
      </c>
      <c r="F66" s="1599">
        <v>8</v>
      </c>
      <c r="G66" s="1599">
        <v>12271350</v>
      </c>
      <c r="H66" s="1599">
        <f t="shared" si="8"/>
        <v>98170800</v>
      </c>
      <c r="I66" s="1602">
        <v>8</v>
      </c>
      <c r="J66" s="1603">
        <v>12752754</v>
      </c>
      <c r="K66" s="1560">
        <f t="shared" si="6"/>
        <v>102022032</v>
      </c>
      <c r="L66" s="1560">
        <f t="shared" si="7"/>
        <v>481404</v>
      </c>
      <c r="M66" s="1560" t="s">
        <v>2976</v>
      </c>
      <c r="N66" s="1562" t="s">
        <v>2977</v>
      </c>
    </row>
    <row r="67" spans="1:14" ht="27">
      <c r="A67" s="1526">
        <v>28</v>
      </c>
      <c r="B67" s="1597">
        <v>5</v>
      </c>
      <c r="C67" s="1598" t="s">
        <v>2984</v>
      </c>
      <c r="D67" s="1529" t="s">
        <v>2985</v>
      </c>
      <c r="E67" s="1599" t="s">
        <v>2975</v>
      </c>
      <c r="F67" s="1599">
        <v>2</v>
      </c>
      <c r="G67" s="1599">
        <v>4379550</v>
      </c>
      <c r="H67" s="1599">
        <f t="shared" si="8"/>
        <v>8759100</v>
      </c>
      <c r="I67" s="1602">
        <v>2</v>
      </c>
      <c r="J67" s="1603">
        <v>4551057</v>
      </c>
      <c r="K67" s="1560">
        <f t="shared" si="6"/>
        <v>9102114</v>
      </c>
      <c r="L67" s="1560">
        <f t="shared" si="7"/>
        <v>171507</v>
      </c>
      <c r="M67" s="1560" t="s">
        <v>2976</v>
      </c>
      <c r="N67" s="1562" t="s">
        <v>2977</v>
      </c>
    </row>
    <row r="68" spans="1:14" ht="27">
      <c r="A68" s="1526">
        <v>29</v>
      </c>
      <c r="B68" s="1597">
        <v>6</v>
      </c>
      <c r="C68" s="1598" t="s">
        <v>2986</v>
      </c>
      <c r="D68" s="1529" t="s">
        <v>2985</v>
      </c>
      <c r="E68" s="1599" t="s">
        <v>2975</v>
      </c>
      <c r="F68" s="1599">
        <v>2</v>
      </c>
      <c r="G68" s="1599">
        <v>4045650</v>
      </c>
      <c r="H68" s="1599">
        <f t="shared" si="8"/>
        <v>8091300</v>
      </c>
      <c r="I68" s="1602">
        <v>2</v>
      </c>
      <c r="J68" s="1603">
        <v>4203801</v>
      </c>
      <c r="K68" s="1560">
        <f t="shared" si="6"/>
        <v>8407602</v>
      </c>
      <c r="L68" s="1560">
        <f t="shared" si="7"/>
        <v>158151</v>
      </c>
      <c r="M68" s="1560" t="s">
        <v>2976</v>
      </c>
      <c r="N68" s="1562" t="s">
        <v>2977</v>
      </c>
    </row>
    <row r="69" spans="1:14" ht="27">
      <c r="A69" s="1526">
        <v>30</v>
      </c>
      <c r="B69" s="1597">
        <v>7</v>
      </c>
      <c r="C69" s="1598" t="s">
        <v>2987</v>
      </c>
      <c r="D69" s="1529" t="s">
        <v>2985</v>
      </c>
      <c r="E69" s="1599" t="s">
        <v>2975</v>
      </c>
      <c r="F69" s="1599">
        <v>1</v>
      </c>
      <c r="G69" s="1599">
        <v>2905350</v>
      </c>
      <c r="H69" s="1599">
        <f t="shared" si="8"/>
        <v>2905350</v>
      </c>
      <c r="I69" s="1602">
        <v>1</v>
      </c>
      <c r="J69" s="1603">
        <v>3019569</v>
      </c>
      <c r="K69" s="1560">
        <f t="shared" si="6"/>
        <v>3019569</v>
      </c>
      <c r="L69" s="1560">
        <f t="shared" si="7"/>
        <v>114219</v>
      </c>
      <c r="M69" s="1560" t="s">
        <v>2976</v>
      </c>
      <c r="N69" s="1562" t="s">
        <v>2977</v>
      </c>
    </row>
    <row r="70" spans="1:14">
      <c r="A70" s="1526">
        <v>31</v>
      </c>
      <c r="B70" s="1597">
        <v>8</v>
      </c>
      <c r="C70" s="1598" t="s">
        <v>2988</v>
      </c>
      <c r="D70" s="1529" t="s">
        <v>2974</v>
      </c>
      <c r="E70" s="1599" t="s">
        <v>2975</v>
      </c>
      <c r="F70" s="1599">
        <v>5</v>
      </c>
      <c r="G70" s="1599">
        <v>2828700</v>
      </c>
      <c r="H70" s="1599">
        <f t="shared" si="8"/>
        <v>14143500</v>
      </c>
      <c r="I70" s="1602">
        <v>5</v>
      </c>
      <c r="J70" s="1603">
        <v>2939433</v>
      </c>
      <c r="K70" s="1560">
        <f t="shared" si="6"/>
        <v>14697165</v>
      </c>
      <c r="L70" s="1560">
        <f t="shared" si="7"/>
        <v>110733</v>
      </c>
      <c r="M70" s="1560" t="s">
        <v>2976</v>
      </c>
      <c r="N70" s="1562" t="s">
        <v>2977</v>
      </c>
    </row>
    <row r="71" spans="1:14" ht="27">
      <c r="A71" s="1526">
        <v>32</v>
      </c>
      <c r="B71" s="1597">
        <v>9</v>
      </c>
      <c r="C71" s="1598" t="s">
        <v>2989</v>
      </c>
      <c r="D71" s="1529" t="s">
        <v>2990</v>
      </c>
      <c r="E71" s="1599" t="s">
        <v>2975</v>
      </c>
      <c r="F71" s="1599">
        <v>2</v>
      </c>
      <c r="G71" s="1599">
        <v>5361300</v>
      </c>
      <c r="H71" s="1599">
        <f t="shared" si="8"/>
        <v>10722600</v>
      </c>
      <c r="I71" s="1602">
        <v>2</v>
      </c>
      <c r="J71" s="1603">
        <v>5571678</v>
      </c>
      <c r="K71" s="1560">
        <f t="shared" si="6"/>
        <v>11143356</v>
      </c>
      <c r="L71" s="1560">
        <f t="shared" si="7"/>
        <v>210378</v>
      </c>
      <c r="M71" s="1560" t="s">
        <v>2976</v>
      </c>
      <c r="N71" s="1562" t="s">
        <v>2977</v>
      </c>
    </row>
    <row r="72" spans="1:14" ht="27">
      <c r="A72" s="1526">
        <v>33</v>
      </c>
      <c r="B72" s="1597">
        <v>10</v>
      </c>
      <c r="C72" s="1598" t="s">
        <v>2991</v>
      </c>
      <c r="D72" s="1529" t="s">
        <v>2979</v>
      </c>
      <c r="E72" s="1599" t="s">
        <v>2975</v>
      </c>
      <c r="F72" s="1599">
        <v>2</v>
      </c>
      <c r="G72" s="1599">
        <v>9172800</v>
      </c>
      <c r="H72" s="1599">
        <f t="shared" si="8"/>
        <v>18345600</v>
      </c>
      <c r="I72" s="1602">
        <v>2</v>
      </c>
      <c r="J72" s="1603">
        <v>9532845</v>
      </c>
      <c r="K72" s="1560">
        <f t="shared" si="6"/>
        <v>19065690</v>
      </c>
      <c r="L72" s="1560">
        <f t="shared" si="7"/>
        <v>360045</v>
      </c>
      <c r="M72" s="1560" t="s">
        <v>2976</v>
      </c>
      <c r="N72" s="1562" t="s">
        <v>2977</v>
      </c>
    </row>
    <row r="73" spans="1:14" ht="27">
      <c r="A73" s="1526">
        <v>34</v>
      </c>
      <c r="B73" s="1597">
        <v>11</v>
      </c>
      <c r="C73" s="1598" t="s">
        <v>2992</v>
      </c>
      <c r="D73" s="1529" t="s">
        <v>2985</v>
      </c>
      <c r="E73" s="1599" t="s">
        <v>2975</v>
      </c>
      <c r="F73" s="1599">
        <v>3</v>
      </c>
      <c r="G73" s="1599">
        <v>1528800</v>
      </c>
      <c r="H73" s="1599">
        <f t="shared" si="8"/>
        <v>4586400</v>
      </c>
      <c r="I73" s="1602">
        <v>3</v>
      </c>
      <c r="J73" s="1603">
        <v>1588251</v>
      </c>
      <c r="K73" s="1560">
        <f t="shared" si="6"/>
        <v>4764753</v>
      </c>
      <c r="L73" s="1560">
        <f t="shared" si="7"/>
        <v>59451</v>
      </c>
      <c r="M73" s="1560" t="s">
        <v>2976</v>
      </c>
      <c r="N73" s="1562" t="s">
        <v>2977</v>
      </c>
    </row>
    <row r="74" spans="1:14" ht="27">
      <c r="A74" s="1526">
        <v>35</v>
      </c>
      <c r="B74" s="1597">
        <v>12</v>
      </c>
      <c r="C74" s="1598" t="s">
        <v>2993</v>
      </c>
      <c r="D74" s="1529" t="s">
        <v>2979</v>
      </c>
      <c r="E74" s="1599" t="s">
        <v>2975</v>
      </c>
      <c r="F74" s="1599">
        <v>2</v>
      </c>
      <c r="G74" s="1599">
        <v>2547300</v>
      </c>
      <c r="H74" s="1599">
        <f t="shared" si="8"/>
        <v>5094600</v>
      </c>
      <c r="I74" s="1602">
        <v>2</v>
      </c>
      <c r="J74" s="1603">
        <v>2646714</v>
      </c>
      <c r="K74" s="1560">
        <f t="shared" si="6"/>
        <v>5293428</v>
      </c>
      <c r="L74" s="1560">
        <f t="shared" si="7"/>
        <v>99414</v>
      </c>
      <c r="M74" s="1560" t="s">
        <v>2976</v>
      </c>
      <c r="N74" s="1562" t="s">
        <v>2977</v>
      </c>
    </row>
    <row r="75" spans="1:14" ht="18">
      <c r="A75" s="1526">
        <v>36</v>
      </c>
      <c r="B75" s="1597">
        <v>13</v>
      </c>
      <c r="C75" s="1598" t="s">
        <v>2994</v>
      </c>
      <c r="D75" s="1529" t="s">
        <v>2995</v>
      </c>
      <c r="E75" s="1599" t="s">
        <v>2975</v>
      </c>
      <c r="F75" s="1599">
        <v>5</v>
      </c>
      <c r="G75" s="1599">
        <v>1145550</v>
      </c>
      <c r="H75" s="1599">
        <f t="shared" si="8"/>
        <v>5727750</v>
      </c>
      <c r="I75" s="1602">
        <v>5</v>
      </c>
      <c r="J75" s="1603">
        <v>1190910</v>
      </c>
      <c r="K75" s="1560">
        <f t="shared" si="6"/>
        <v>5954550</v>
      </c>
      <c r="L75" s="1560">
        <f t="shared" si="7"/>
        <v>45360</v>
      </c>
      <c r="M75" s="1560" t="s">
        <v>2976</v>
      </c>
      <c r="N75" s="1562" t="s">
        <v>2977</v>
      </c>
    </row>
    <row r="76" spans="1:14" ht="27">
      <c r="A76" s="1526">
        <v>37</v>
      </c>
      <c r="B76" s="1597">
        <v>14</v>
      </c>
      <c r="C76" s="1598" t="s">
        <v>2996</v>
      </c>
      <c r="D76" s="1529" t="s">
        <v>2985</v>
      </c>
      <c r="E76" s="1599" t="s">
        <v>2975</v>
      </c>
      <c r="F76" s="1599">
        <v>5</v>
      </c>
      <c r="G76" s="1599">
        <v>2790900</v>
      </c>
      <c r="H76" s="1599">
        <f t="shared" si="8"/>
        <v>13954500</v>
      </c>
      <c r="I76" s="1602">
        <v>5</v>
      </c>
      <c r="J76" s="1603">
        <v>2900478</v>
      </c>
      <c r="K76" s="1560">
        <f t="shared" si="6"/>
        <v>14502390</v>
      </c>
      <c r="L76" s="1560">
        <f t="shared" si="7"/>
        <v>109578</v>
      </c>
      <c r="M76" s="1560" t="s">
        <v>2976</v>
      </c>
      <c r="N76" s="1562" t="s">
        <v>2977</v>
      </c>
    </row>
    <row r="77" spans="1:14" ht="27">
      <c r="A77" s="1526">
        <v>38</v>
      </c>
      <c r="B77" s="1597">
        <v>15</v>
      </c>
      <c r="C77" s="1598" t="s">
        <v>2997</v>
      </c>
      <c r="D77" s="1529" t="s">
        <v>2985</v>
      </c>
      <c r="E77" s="1599" t="s">
        <v>2975</v>
      </c>
      <c r="F77" s="1599">
        <v>5</v>
      </c>
      <c r="G77" s="1599">
        <v>2790900</v>
      </c>
      <c r="H77" s="1599">
        <f t="shared" si="8"/>
        <v>13954500</v>
      </c>
      <c r="I77" s="1602">
        <v>5</v>
      </c>
      <c r="J77" s="1603">
        <v>2900478</v>
      </c>
      <c r="K77" s="1560">
        <f t="shared" si="6"/>
        <v>14502390</v>
      </c>
      <c r="L77" s="1560">
        <f t="shared" si="7"/>
        <v>109578</v>
      </c>
      <c r="M77" s="1560" t="s">
        <v>2976</v>
      </c>
      <c r="N77" s="1562" t="s">
        <v>2977</v>
      </c>
    </row>
    <row r="78" spans="1:14" ht="27">
      <c r="A78" s="1526">
        <v>39</v>
      </c>
      <c r="B78" s="1597">
        <v>16</v>
      </c>
      <c r="C78" s="1598" t="s">
        <v>2998</v>
      </c>
      <c r="D78" s="1529" t="s">
        <v>2990</v>
      </c>
      <c r="E78" s="1599" t="s">
        <v>2975</v>
      </c>
      <c r="F78" s="1599">
        <v>5</v>
      </c>
      <c r="G78" s="1599">
        <v>9168600</v>
      </c>
      <c r="H78" s="1599">
        <f t="shared" si="8"/>
        <v>45843000</v>
      </c>
      <c r="I78" s="1602">
        <v>5</v>
      </c>
      <c r="J78" s="1603">
        <v>9528393</v>
      </c>
      <c r="K78" s="1560">
        <f t="shared" si="6"/>
        <v>47641965</v>
      </c>
      <c r="L78" s="1560">
        <f t="shared" si="7"/>
        <v>359793</v>
      </c>
      <c r="M78" s="1560" t="s">
        <v>2976</v>
      </c>
      <c r="N78" s="1562" t="s">
        <v>2977</v>
      </c>
    </row>
    <row r="79" spans="1:14">
      <c r="A79" s="1526">
        <v>40</v>
      </c>
      <c r="B79" s="1597">
        <v>17</v>
      </c>
      <c r="C79" s="1598" t="s">
        <v>2999</v>
      </c>
      <c r="D79" s="1529" t="s">
        <v>3000</v>
      </c>
      <c r="E79" s="1599" t="s">
        <v>2975</v>
      </c>
      <c r="F79" s="1599">
        <v>10</v>
      </c>
      <c r="G79" s="1599">
        <v>789600</v>
      </c>
      <c r="H79" s="1599">
        <f t="shared" si="8"/>
        <v>7896000</v>
      </c>
      <c r="I79" s="1602">
        <v>10</v>
      </c>
      <c r="J79" s="1603">
        <v>820281</v>
      </c>
      <c r="K79" s="1560">
        <f t="shared" si="6"/>
        <v>8202810</v>
      </c>
      <c r="L79" s="1560">
        <f t="shared" si="7"/>
        <v>30681</v>
      </c>
      <c r="M79" s="1560" t="s">
        <v>2976</v>
      </c>
      <c r="N79" s="1562" t="s">
        <v>2977</v>
      </c>
    </row>
    <row r="80" spans="1:14" ht="27">
      <c r="A80" s="1526">
        <v>41</v>
      </c>
      <c r="B80" s="1597">
        <v>18</v>
      </c>
      <c r="C80" s="1598" t="s">
        <v>3001</v>
      </c>
      <c r="D80" s="1529" t="s">
        <v>2985</v>
      </c>
      <c r="E80" s="1599" t="s">
        <v>2975</v>
      </c>
      <c r="F80" s="1599">
        <v>2</v>
      </c>
      <c r="G80" s="1599">
        <v>793800</v>
      </c>
      <c r="H80" s="1599">
        <f t="shared" si="8"/>
        <v>1587600</v>
      </c>
      <c r="I80" s="1602">
        <v>2</v>
      </c>
      <c r="J80" s="1603">
        <v>824733</v>
      </c>
      <c r="K80" s="1560">
        <f t="shared" si="6"/>
        <v>1649466</v>
      </c>
      <c r="L80" s="1560">
        <f t="shared" si="7"/>
        <v>30933</v>
      </c>
      <c r="M80" s="1560" t="s">
        <v>2976</v>
      </c>
      <c r="N80" s="1562" t="s">
        <v>2977</v>
      </c>
    </row>
    <row r="81" spans="1:14">
      <c r="A81" s="1526">
        <v>42</v>
      </c>
      <c r="B81" s="1597">
        <v>19</v>
      </c>
      <c r="C81" s="1598" t="s">
        <v>3002</v>
      </c>
      <c r="D81" s="1529" t="s">
        <v>2974</v>
      </c>
      <c r="E81" s="1599" t="s">
        <v>2975</v>
      </c>
      <c r="F81" s="1599">
        <v>2</v>
      </c>
      <c r="G81" s="1599">
        <v>6879600</v>
      </c>
      <c r="H81" s="1599">
        <f t="shared" si="8"/>
        <v>13759200</v>
      </c>
      <c r="I81" s="1602">
        <v>2</v>
      </c>
      <c r="J81" s="1603">
        <v>7149912</v>
      </c>
      <c r="K81" s="1560">
        <f t="shared" si="6"/>
        <v>14299824</v>
      </c>
      <c r="L81" s="1560">
        <f t="shared" si="7"/>
        <v>270312</v>
      </c>
      <c r="M81" s="1560" t="s">
        <v>2976</v>
      </c>
      <c r="N81" s="1562" t="s">
        <v>2977</v>
      </c>
    </row>
    <row r="82" spans="1:14" ht="27">
      <c r="A82" s="1526">
        <v>43</v>
      </c>
      <c r="B82" s="1597">
        <v>20</v>
      </c>
      <c r="C82" s="1598" t="s">
        <v>3003</v>
      </c>
      <c r="D82" s="1529" t="s">
        <v>2985</v>
      </c>
      <c r="E82" s="1599" t="s">
        <v>2975</v>
      </c>
      <c r="F82" s="1599">
        <v>5</v>
      </c>
      <c r="G82" s="1599">
        <v>2867550</v>
      </c>
      <c r="H82" s="1599">
        <f t="shared" si="8"/>
        <v>14337750</v>
      </c>
      <c r="I82" s="1602">
        <v>5</v>
      </c>
      <c r="J82" s="1603">
        <v>2979501</v>
      </c>
      <c r="K82" s="1560">
        <f t="shared" si="6"/>
        <v>14897505</v>
      </c>
      <c r="L82" s="1560">
        <f t="shared" si="7"/>
        <v>111951</v>
      </c>
      <c r="M82" s="1560" t="s">
        <v>2976</v>
      </c>
      <c r="N82" s="1562" t="s">
        <v>2977</v>
      </c>
    </row>
    <row r="83" spans="1:14" ht="27">
      <c r="A83" s="1526">
        <v>44</v>
      </c>
      <c r="B83" s="1597">
        <v>21</v>
      </c>
      <c r="C83" s="1598" t="s">
        <v>3004</v>
      </c>
      <c r="D83" s="1529" t="s">
        <v>3005</v>
      </c>
      <c r="E83" s="1599" t="s">
        <v>2975</v>
      </c>
      <c r="F83" s="1599">
        <v>2</v>
      </c>
      <c r="G83" s="1599">
        <v>1904700</v>
      </c>
      <c r="H83" s="1599">
        <f t="shared" si="8"/>
        <v>3809400</v>
      </c>
      <c r="I83" s="1602">
        <v>2</v>
      </c>
      <c r="J83" s="1603">
        <v>1978914</v>
      </c>
      <c r="K83" s="1560">
        <f t="shared" si="6"/>
        <v>3957828</v>
      </c>
      <c r="L83" s="1560">
        <f t="shared" si="7"/>
        <v>74214</v>
      </c>
      <c r="M83" s="1560" t="s">
        <v>2976</v>
      </c>
      <c r="N83" s="1562" t="s">
        <v>2977</v>
      </c>
    </row>
    <row r="84" spans="1:14" ht="27">
      <c r="A84" s="1526">
        <v>45</v>
      </c>
      <c r="B84" s="1597">
        <v>22</v>
      </c>
      <c r="C84" s="1598" t="s">
        <v>3006</v>
      </c>
      <c r="D84" s="1529" t="s">
        <v>2985</v>
      </c>
      <c r="E84" s="1599" t="s">
        <v>2975</v>
      </c>
      <c r="F84" s="1599">
        <v>2</v>
      </c>
      <c r="G84" s="1599">
        <v>3439800</v>
      </c>
      <c r="H84" s="1599">
        <f t="shared" si="8"/>
        <v>6879600</v>
      </c>
      <c r="I84" s="1602">
        <v>2</v>
      </c>
      <c r="J84" s="1603">
        <v>3574956</v>
      </c>
      <c r="K84" s="1560">
        <f t="shared" si="6"/>
        <v>7149912</v>
      </c>
      <c r="L84" s="1560">
        <f t="shared" si="7"/>
        <v>135156</v>
      </c>
      <c r="M84" s="1560" t="s">
        <v>2976</v>
      </c>
      <c r="N84" s="1562" t="s">
        <v>2977</v>
      </c>
    </row>
    <row r="85" spans="1:14">
      <c r="A85" s="1526">
        <v>46</v>
      </c>
      <c r="B85" s="1597">
        <v>23</v>
      </c>
      <c r="C85" s="1598" t="s">
        <v>3007</v>
      </c>
      <c r="D85" s="1529" t="s">
        <v>3008</v>
      </c>
      <c r="E85" s="1599" t="s">
        <v>3009</v>
      </c>
      <c r="F85" s="1599">
        <v>3</v>
      </c>
      <c r="G85" s="1599">
        <v>905100</v>
      </c>
      <c r="H85" s="1599">
        <f t="shared" si="8"/>
        <v>2715300</v>
      </c>
      <c r="I85" s="1602">
        <v>3</v>
      </c>
      <c r="J85" s="1603">
        <v>940485</v>
      </c>
      <c r="K85" s="1560">
        <f t="shared" si="6"/>
        <v>2821455</v>
      </c>
      <c r="L85" s="1560">
        <f t="shared" si="7"/>
        <v>35385</v>
      </c>
      <c r="M85" s="1560" t="s">
        <v>2976</v>
      </c>
      <c r="N85" s="1562" t="s">
        <v>2977</v>
      </c>
    </row>
    <row r="86" spans="1:14">
      <c r="A86" s="1526">
        <v>47</v>
      </c>
      <c r="B86" s="1597">
        <v>24</v>
      </c>
      <c r="C86" s="1598" t="s">
        <v>3010</v>
      </c>
      <c r="D86" s="1529" t="s">
        <v>3011</v>
      </c>
      <c r="E86" s="1599" t="s">
        <v>3009</v>
      </c>
      <c r="F86" s="1599">
        <v>1</v>
      </c>
      <c r="G86" s="1599">
        <v>64050</v>
      </c>
      <c r="H86" s="1599">
        <f t="shared" si="8"/>
        <v>64050</v>
      </c>
      <c r="I86" s="1602">
        <v>1</v>
      </c>
      <c r="J86" s="1603">
        <v>66780</v>
      </c>
      <c r="K86" s="1560">
        <f t="shared" si="6"/>
        <v>66780</v>
      </c>
      <c r="L86" s="1560">
        <f t="shared" si="7"/>
        <v>2730</v>
      </c>
      <c r="M86" s="1560" t="s">
        <v>2976</v>
      </c>
      <c r="N86" s="1562" t="s">
        <v>2977</v>
      </c>
    </row>
    <row r="87" spans="1:14">
      <c r="A87" s="1526">
        <v>48</v>
      </c>
      <c r="B87" s="1597">
        <v>25</v>
      </c>
      <c r="C87" s="1598" t="s">
        <v>3012</v>
      </c>
      <c r="D87" s="1529" t="s">
        <v>3011</v>
      </c>
      <c r="E87" s="1599" t="s">
        <v>3009</v>
      </c>
      <c r="F87" s="1599">
        <v>1</v>
      </c>
      <c r="G87" s="1599">
        <v>64050</v>
      </c>
      <c r="H87" s="1599">
        <f t="shared" si="8"/>
        <v>64050</v>
      </c>
      <c r="I87" s="1602">
        <v>1</v>
      </c>
      <c r="J87" s="1603">
        <v>66780</v>
      </c>
      <c r="K87" s="1560">
        <f t="shared" si="6"/>
        <v>66780</v>
      </c>
      <c r="L87" s="1560">
        <f t="shared" si="7"/>
        <v>2730</v>
      </c>
      <c r="M87" s="1560" t="s">
        <v>2976</v>
      </c>
      <c r="N87" s="1562" t="s">
        <v>2977</v>
      </c>
    </row>
    <row r="88" spans="1:14">
      <c r="A88" s="1526">
        <v>49</v>
      </c>
      <c r="B88" s="1597">
        <v>26</v>
      </c>
      <c r="C88" s="1598" t="s">
        <v>3013</v>
      </c>
      <c r="D88" s="1529" t="s">
        <v>3011</v>
      </c>
      <c r="E88" s="1599" t="s">
        <v>3009</v>
      </c>
      <c r="F88" s="1599">
        <v>1</v>
      </c>
      <c r="G88" s="1599">
        <v>122850</v>
      </c>
      <c r="H88" s="1599">
        <f t="shared" si="8"/>
        <v>122850</v>
      </c>
      <c r="I88" s="1602">
        <v>1</v>
      </c>
      <c r="J88" s="1603">
        <v>127995</v>
      </c>
      <c r="K88" s="1560">
        <f t="shared" si="6"/>
        <v>127995</v>
      </c>
      <c r="L88" s="1560">
        <f t="shared" si="7"/>
        <v>5145</v>
      </c>
      <c r="M88" s="1560" t="s">
        <v>2976</v>
      </c>
      <c r="N88" s="1562" t="s">
        <v>2977</v>
      </c>
    </row>
    <row r="89" spans="1:14">
      <c r="A89" s="1526">
        <v>50</v>
      </c>
      <c r="B89" s="1597">
        <v>27</v>
      </c>
      <c r="C89" s="1598" t="s">
        <v>3014</v>
      </c>
      <c r="D89" s="1529" t="s">
        <v>3011</v>
      </c>
      <c r="E89" s="1599" t="s">
        <v>3009</v>
      </c>
      <c r="F89" s="1599">
        <v>1</v>
      </c>
      <c r="G89" s="1599">
        <v>64050</v>
      </c>
      <c r="H89" s="1599">
        <f t="shared" si="8"/>
        <v>64050</v>
      </c>
      <c r="I89" s="1602">
        <v>1</v>
      </c>
      <c r="J89" s="1603">
        <v>66780</v>
      </c>
      <c r="K89" s="1560">
        <f t="shared" si="6"/>
        <v>66780</v>
      </c>
      <c r="L89" s="1560">
        <f t="shared" si="7"/>
        <v>2730</v>
      </c>
      <c r="M89" s="1560" t="s">
        <v>2976</v>
      </c>
      <c r="N89" s="1562" t="s">
        <v>2977</v>
      </c>
    </row>
    <row r="90" spans="1:14">
      <c r="A90" s="1526">
        <v>51</v>
      </c>
      <c r="B90" s="1597">
        <v>28</v>
      </c>
      <c r="C90" s="1598" t="s">
        <v>3015</v>
      </c>
      <c r="D90" s="1529" t="s">
        <v>3011</v>
      </c>
      <c r="E90" s="1599" t="s">
        <v>3009</v>
      </c>
      <c r="F90" s="1599">
        <v>1</v>
      </c>
      <c r="G90" s="1599">
        <v>64050</v>
      </c>
      <c r="H90" s="1599">
        <f t="shared" si="8"/>
        <v>64050</v>
      </c>
      <c r="I90" s="1602">
        <v>1</v>
      </c>
      <c r="J90" s="1603">
        <v>66780</v>
      </c>
      <c r="K90" s="1560">
        <f t="shared" si="6"/>
        <v>66780</v>
      </c>
      <c r="L90" s="1560">
        <f t="shared" si="7"/>
        <v>2730</v>
      </c>
      <c r="M90" s="1560" t="s">
        <v>2976</v>
      </c>
      <c r="N90" s="1562" t="s">
        <v>2977</v>
      </c>
    </row>
    <row r="91" spans="1:14">
      <c r="A91" s="1526">
        <v>52</v>
      </c>
      <c r="B91" s="1597">
        <v>29</v>
      </c>
      <c r="C91" s="1598" t="s">
        <v>3016</v>
      </c>
      <c r="D91" s="1529" t="s">
        <v>3011</v>
      </c>
      <c r="E91" s="1599" t="s">
        <v>3009</v>
      </c>
      <c r="F91" s="1599">
        <v>1</v>
      </c>
      <c r="G91" s="1599">
        <v>64050</v>
      </c>
      <c r="H91" s="1599">
        <f t="shared" si="8"/>
        <v>64050</v>
      </c>
      <c r="I91" s="1602">
        <v>1</v>
      </c>
      <c r="J91" s="1603">
        <v>66780</v>
      </c>
      <c r="K91" s="1560">
        <f t="shared" si="6"/>
        <v>66780</v>
      </c>
      <c r="L91" s="1560">
        <f t="shared" si="7"/>
        <v>2730</v>
      </c>
      <c r="M91" s="1560" t="s">
        <v>2976</v>
      </c>
      <c r="N91" s="1562" t="s">
        <v>2977</v>
      </c>
    </row>
    <row r="92" spans="1:14">
      <c r="A92" s="1526">
        <v>53</v>
      </c>
      <c r="B92" s="1597">
        <v>30</v>
      </c>
      <c r="C92" s="1598" t="s">
        <v>3017</v>
      </c>
      <c r="D92" s="1529" t="s">
        <v>3011</v>
      </c>
      <c r="E92" s="1599" t="s">
        <v>3009</v>
      </c>
      <c r="F92" s="1599">
        <v>3</v>
      </c>
      <c r="G92" s="1599">
        <v>277200</v>
      </c>
      <c r="H92" s="1599">
        <f t="shared" si="8"/>
        <v>831600</v>
      </c>
      <c r="I92" s="1602">
        <v>3</v>
      </c>
      <c r="J92" s="1603">
        <v>288267</v>
      </c>
      <c r="K92" s="1560">
        <f t="shared" si="6"/>
        <v>864801</v>
      </c>
      <c r="L92" s="1560">
        <f t="shared" si="7"/>
        <v>11067</v>
      </c>
      <c r="M92" s="1560" t="s">
        <v>2976</v>
      </c>
      <c r="N92" s="1562" t="s">
        <v>2977</v>
      </c>
    </row>
    <row r="93" spans="1:14">
      <c r="A93" s="1526">
        <v>54</v>
      </c>
      <c r="B93" s="1597">
        <v>31</v>
      </c>
      <c r="C93" s="1598" t="s">
        <v>3018</v>
      </c>
      <c r="D93" s="1529" t="s">
        <v>3011</v>
      </c>
      <c r="E93" s="1599" t="s">
        <v>3009</v>
      </c>
      <c r="F93" s="1599">
        <v>1</v>
      </c>
      <c r="G93" s="1599">
        <v>64050</v>
      </c>
      <c r="H93" s="1599">
        <f t="shared" si="8"/>
        <v>64050</v>
      </c>
      <c r="I93" s="1602">
        <v>1</v>
      </c>
      <c r="J93" s="1603">
        <v>66780</v>
      </c>
      <c r="K93" s="1560">
        <f t="shared" si="6"/>
        <v>66780</v>
      </c>
      <c r="L93" s="1560">
        <f t="shared" si="7"/>
        <v>2730</v>
      </c>
      <c r="M93" s="1560" t="s">
        <v>2976</v>
      </c>
      <c r="N93" s="1562" t="s">
        <v>2977</v>
      </c>
    </row>
    <row r="94" spans="1:14">
      <c r="A94" s="1526">
        <v>55</v>
      </c>
      <c r="B94" s="1597">
        <v>32</v>
      </c>
      <c r="C94" s="1598" t="s">
        <v>3019</v>
      </c>
      <c r="D94" s="1529" t="s">
        <v>3011</v>
      </c>
      <c r="E94" s="1599" t="s">
        <v>3009</v>
      </c>
      <c r="F94" s="1599">
        <v>1</v>
      </c>
      <c r="G94" s="1599">
        <v>117600</v>
      </c>
      <c r="H94" s="1599">
        <f t="shared" si="8"/>
        <v>117600</v>
      </c>
      <c r="I94" s="1602">
        <v>1</v>
      </c>
      <c r="J94" s="1603">
        <v>122430</v>
      </c>
      <c r="K94" s="1560">
        <f t="shared" si="6"/>
        <v>122430</v>
      </c>
      <c r="L94" s="1560">
        <f t="shared" si="7"/>
        <v>4830</v>
      </c>
      <c r="M94" s="1560" t="s">
        <v>2976</v>
      </c>
      <c r="N94" s="1562" t="s">
        <v>2977</v>
      </c>
    </row>
    <row r="95" spans="1:14">
      <c r="A95" s="1526">
        <v>56</v>
      </c>
      <c r="B95" s="1597">
        <v>33</v>
      </c>
      <c r="C95" s="1598" t="s">
        <v>3020</v>
      </c>
      <c r="D95" s="1529" t="s">
        <v>3011</v>
      </c>
      <c r="E95" s="1599" t="s">
        <v>3009</v>
      </c>
      <c r="F95" s="1599">
        <v>1</v>
      </c>
      <c r="G95" s="1599">
        <v>64050</v>
      </c>
      <c r="H95" s="1599">
        <f t="shared" si="8"/>
        <v>64050</v>
      </c>
      <c r="I95" s="1602">
        <v>1</v>
      </c>
      <c r="J95" s="1603">
        <v>66780</v>
      </c>
      <c r="K95" s="1560">
        <f t="shared" si="6"/>
        <v>66780</v>
      </c>
      <c r="L95" s="1560">
        <f t="shared" si="7"/>
        <v>2730</v>
      </c>
      <c r="M95" s="1560" t="s">
        <v>2976</v>
      </c>
      <c r="N95" s="1562" t="s">
        <v>2977</v>
      </c>
    </row>
    <row r="96" spans="1:14">
      <c r="A96" s="1526">
        <v>57</v>
      </c>
      <c r="B96" s="1597">
        <v>34</v>
      </c>
      <c r="C96" s="1598" t="s">
        <v>3021</v>
      </c>
      <c r="D96" s="1529" t="s">
        <v>3011</v>
      </c>
      <c r="E96" s="1599" t="s">
        <v>3009</v>
      </c>
      <c r="F96" s="1599">
        <v>1</v>
      </c>
      <c r="G96" s="1599">
        <v>101850</v>
      </c>
      <c r="H96" s="1599">
        <f t="shared" si="8"/>
        <v>101850</v>
      </c>
      <c r="I96" s="1602">
        <v>1</v>
      </c>
      <c r="J96" s="1603">
        <v>105735</v>
      </c>
      <c r="K96" s="1560">
        <f t="shared" si="6"/>
        <v>105735</v>
      </c>
      <c r="L96" s="1560">
        <f t="shared" si="7"/>
        <v>3885</v>
      </c>
      <c r="M96" s="1560" t="s">
        <v>2976</v>
      </c>
      <c r="N96" s="1562" t="s">
        <v>2977</v>
      </c>
    </row>
    <row r="97" spans="1:14">
      <c r="A97" s="1526">
        <v>58</v>
      </c>
      <c r="B97" s="1597">
        <v>35</v>
      </c>
      <c r="C97" s="1598" t="s">
        <v>3022</v>
      </c>
      <c r="D97" s="1529" t="s">
        <v>3011</v>
      </c>
      <c r="E97" s="1599" t="s">
        <v>3009</v>
      </c>
      <c r="F97" s="1599">
        <v>2</v>
      </c>
      <c r="G97" s="1599">
        <v>533400</v>
      </c>
      <c r="H97" s="1599">
        <f t="shared" si="8"/>
        <v>1066800</v>
      </c>
      <c r="I97" s="1602">
        <v>2</v>
      </c>
      <c r="J97" s="1603">
        <v>554274</v>
      </c>
      <c r="K97" s="1560">
        <f t="shared" si="6"/>
        <v>1108548</v>
      </c>
      <c r="L97" s="1560">
        <f t="shared" si="7"/>
        <v>20874</v>
      </c>
      <c r="M97" s="1560" t="s">
        <v>2976</v>
      </c>
      <c r="N97" s="1562" t="s">
        <v>2977</v>
      </c>
    </row>
    <row r="98" spans="1:14">
      <c r="A98" s="1526">
        <v>59</v>
      </c>
      <c r="B98" s="1597">
        <v>36</v>
      </c>
      <c r="C98" s="1598" t="s">
        <v>3023</v>
      </c>
      <c r="D98" s="1529" t="s">
        <v>3011</v>
      </c>
      <c r="E98" s="1599" t="s">
        <v>3009</v>
      </c>
      <c r="F98" s="1599">
        <v>1</v>
      </c>
      <c r="G98" s="1599">
        <v>1358700</v>
      </c>
      <c r="H98" s="1599">
        <f t="shared" si="8"/>
        <v>1358700</v>
      </c>
      <c r="I98" s="1602">
        <v>1</v>
      </c>
      <c r="J98" s="1603">
        <v>1412397</v>
      </c>
      <c r="K98" s="1560">
        <f t="shared" si="6"/>
        <v>1412397</v>
      </c>
      <c r="L98" s="1560">
        <f t="shared" si="7"/>
        <v>53697</v>
      </c>
      <c r="M98" s="1560" t="s">
        <v>2976</v>
      </c>
      <c r="N98" s="1562" t="s">
        <v>2977</v>
      </c>
    </row>
    <row r="99" spans="1:14">
      <c r="A99" s="1526">
        <v>60</v>
      </c>
      <c r="B99" s="1597">
        <v>37</v>
      </c>
      <c r="C99" s="1598" t="s">
        <v>3024</v>
      </c>
      <c r="D99" s="1529" t="s">
        <v>3025</v>
      </c>
      <c r="E99" s="1599" t="s">
        <v>3009</v>
      </c>
      <c r="F99" s="1599">
        <v>1</v>
      </c>
      <c r="G99" s="1599">
        <v>1623300</v>
      </c>
      <c r="H99" s="1599">
        <f t="shared" si="8"/>
        <v>1623300</v>
      </c>
      <c r="I99" s="1602">
        <v>1</v>
      </c>
      <c r="J99" s="1603">
        <v>1687308</v>
      </c>
      <c r="K99" s="1560">
        <f t="shared" si="6"/>
        <v>1687308</v>
      </c>
      <c r="L99" s="1560">
        <f t="shared" si="7"/>
        <v>64008</v>
      </c>
      <c r="M99" s="1560" t="s">
        <v>2976</v>
      </c>
      <c r="N99" s="1562" t="s">
        <v>2977</v>
      </c>
    </row>
    <row r="100" spans="1:14">
      <c r="A100" s="1526">
        <v>61</v>
      </c>
      <c r="B100" s="1597">
        <v>38</v>
      </c>
      <c r="C100" s="1598" t="s">
        <v>3026</v>
      </c>
      <c r="D100" s="1529" t="s">
        <v>3027</v>
      </c>
      <c r="E100" s="1599" t="s">
        <v>2975</v>
      </c>
      <c r="F100" s="1599">
        <v>3</v>
      </c>
      <c r="G100" s="1599">
        <v>3594150</v>
      </c>
      <c r="H100" s="1599">
        <f t="shared" si="8"/>
        <v>10782450</v>
      </c>
      <c r="I100" s="1602">
        <v>3</v>
      </c>
      <c r="J100" s="1603">
        <v>3735228</v>
      </c>
      <c r="K100" s="1560">
        <f t="shared" si="6"/>
        <v>11205684</v>
      </c>
      <c r="L100" s="1560">
        <f t="shared" si="7"/>
        <v>141078</v>
      </c>
      <c r="M100" s="1560" t="s">
        <v>2976</v>
      </c>
      <c r="N100" s="1562" t="s">
        <v>2977</v>
      </c>
    </row>
    <row r="101" spans="1:14">
      <c r="A101" s="1526">
        <v>62</v>
      </c>
      <c r="B101" s="1597">
        <v>39</v>
      </c>
      <c r="C101" s="1598" t="s">
        <v>3028</v>
      </c>
      <c r="D101" s="1529" t="s">
        <v>3029</v>
      </c>
      <c r="E101" s="1599" t="s">
        <v>3009</v>
      </c>
      <c r="F101" s="1599">
        <v>40</v>
      </c>
      <c r="G101" s="1599">
        <v>696150</v>
      </c>
      <c r="H101" s="1599">
        <f t="shared" si="8"/>
        <v>27846000</v>
      </c>
      <c r="I101" s="1602">
        <v>40</v>
      </c>
      <c r="J101" s="1603">
        <v>723450</v>
      </c>
      <c r="K101" s="1560">
        <f t="shared" si="6"/>
        <v>28938000</v>
      </c>
      <c r="L101" s="1560">
        <f t="shared" si="7"/>
        <v>27300</v>
      </c>
      <c r="M101" s="1560" t="s">
        <v>2976</v>
      </c>
      <c r="N101" s="1562" t="s">
        <v>2977</v>
      </c>
    </row>
    <row r="102" spans="1:14">
      <c r="A102" s="1526">
        <v>63</v>
      </c>
      <c r="B102" s="1597">
        <v>40</v>
      </c>
      <c r="C102" s="1598" t="s">
        <v>3030</v>
      </c>
      <c r="D102" s="1529" t="s">
        <v>3029</v>
      </c>
      <c r="E102" s="1599" t="s">
        <v>3009</v>
      </c>
      <c r="F102" s="1599">
        <v>40</v>
      </c>
      <c r="G102" s="1599">
        <v>752850</v>
      </c>
      <c r="H102" s="1599">
        <f t="shared" si="8"/>
        <v>30114000</v>
      </c>
      <c r="I102" s="1602">
        <v>40</v>
      </c>
      <c r="J102" s="1603">
        <v>782439</v>
      </c>
      <c r="K102" s="1560">
        <f t="shared" si="6"/>
        <v>31297560</v>
      </c>
      <c r="L102" s="1560">
        <f t="shared" si="7"/>
        <v>29589</v>
      </c>
      <c r="M102" s="1560" t="s">
        <v>2976</v>
      </c>
      <c r="N102" s="1562" t="s">
        <v>2977</v>
      </c>
    </row>
    <row r="103" spans="1:14">
      <c r="A103" s="1526">
        <v>64</v>
      </c>
      <c r="B103" s="1597">
        <v>41</v>
      </c>
      <c r="C103" s="1598" t="s">
        <v>3031</v>
      </c>
      <c r="D103" s="1529" t="s">
        <v>3032</v>
      </c>
      <c r="E103" s="1599" t="s">
        <v>2975</v>
      </c>
      <c r="F103" s="1599">
        <v>25</v>
      </c>
      <c r="G103" s="1599">
        <v>3890250</v>
      </c>
      <c r="H103" s="1599">
        <f t="shared" si="8"/>
        <v>97256250</v>
      </c>
      <c r="I103" s="1602">
        <v>25</v>
      </c>
      <c r="J103" s="1603">
        <v>4042416</v>
      </c>
      <c r="K103" s="1560">
        <f t="shared" si="6"/>
        <v>101060400</v>
      </c>
      <c r="L103" s="1560">
        <f t="shared" si="7"/>
        <v>152166</v>
      </c>
      <c r="M103" s="1560" t="s">
        <v>3033</v>
      </c>
      <c r="N103" s="1562" t="s">
        <v>2977</v>
      </c>
    </row>
    <row r="104" spans="1:14">
      <c r="A104" s="1526">
        <v>65</v>
      </c>
      <c r="B104" s="1597">
        <v>42</v>
      </c>
      <c r="C104" s="1598" t="s">
        <v>3034</v>
      </c>
      <c r="D104" s="1529" t="s">
        <v>3035</v>
      </c>
      <c r="E104" s="1599" t="s">
        <v>2975</v>
      </c>
      <c r="F104" s="1599">
        <v>5</v>
      </c>
      <c r="G104" s="1599">
        <v>1512000</v>
      </c>
      <c r="H104" s="1599">
        <f t="shared" si="8"/>
        <v>7560000</v>
      </c>
      <c r="I104" s="1602">
        <v>5</v>
      </c>
      <c r="J104" s="1603">
        <v>1571556</v>
      </c>
      <c r="K104" s="1560">
        <f t="shared" si="6"/>
        <v>7857780</v>
      </c>
      <c r="L104" s="1560">
        <f t="shared" si="7"/>
        <v>59556</v>
      </c>
      <c r="M104" s="1560" t="s">
        <v>3036</v>
      </c>
      <c r="N104" s="1562" t="s">
        <v>2977</v>
      </c>
    </row>
    <row r="105" spans="1:14">
      <c r="A105" s="1526">
        <v>66</v>
      </c>
      <c r="B105" s="1597">
        <v>43</v>
      </c>
      <c r="C105" s="1598" t="s">
        <v>3037</v>
      </c>
      <c r="D105" s="1529" t="s">
        <v>3035</v>
      </c>
      <c r="E105" s="1599" t="s">
        <v>2975</v>
      </c>
      <c r="F105" s="1599">
        <v>15</v>
      </c>
      <c r="G105" s="1599">
        <v>898800</v>
      </c>
      <c r="H105" s="1599">
        <f t="shared" si="8"/>
        <v>13482000</v>
      </c>
      <c r="I105" s="1602">
        <v>15</v>
      </c>
      <c r="J105" s="1603">
        <v>933807</v>
      </c>
      <c r="K105" s="1560">
        <f t="shared" si="6"/>
        <v>14007105</v>
      </c>
      <c r="L105" s="1560">
        <f t="shared" si="7"/>
        <v>35007</v>
      </c>
      <c r="M105" s="1560" t="s">
        <v>3038</v>
      </c>
      <c r="N105" s="1562" t="s">
        <v>2977</v>
      </c>
    </row>
    <row r="106" spans="1:14">
      <c r="A106" s="1526">
        <v>67</v>
      </c>
      <c r="B106" s="1597">
        <v>44</v>
      </c>
      <c r="C106" s="1598" t="s">
        <v>3039</v>
      </c>
      <c r="D106" s="1529" t="s">
        <v>3040</v>
      </c>
      <c r="E106" s="1599" t="s">
        <v>3041</v>
      </c>
      <c r="F106" s="1599">
        <v>5</v>
      </c>
      <c r="G106" s="1599">
        <v>2077900.0000000002</v>
      </c>
      <c r="H106" s="1599">
        <f t="shared" si="8"/>
        <v>10389500.000000002</v>
      </c>
      <c r="I106" s="1602">
        <v>5</v>
      </c>
      <c r="J106" s="1603">
        <v>2202574</v>
      </c>
      <c r="K106" s="1560">
        <f t="shared" si="6"/>
        <v>11012870</v>
      </c>
      <c r="L106" s="1560">
        <f t="shared" si="7"/>
        <v>124673.99999999977</v>
      </c>
      <c r="M106" s="1560" t="s">
        <v>3042</v>
      </c>
      <c r="N106" s="1562" t="s">
        <v>2977</v>
      </c>
    </row>
    <row r="107" spans="1:14">
      <c r="A107" s="1526">
        <v>68</v>
      </c>
      <c r="B107" s="1597">
        <v>45</v>
      </c>
      <c r="C107" s="1598" t="s">
        <v>3043</v>
      </c>
      <c r="D107" s="1529" t="s">
        <v>3044</v>
      </c>
      <c r="E107" s="1599" t="s">
        <v>3045</v>
      </c>
      <c r="F107" s="1599">
        <v>50</v>
      </c>
      <c r="G107" s="1599">
        <v>4618900</v>
      </c>
      <c r="H107" s="1599">
        <f t="shared" si="8"/>
        <v>230945000</v>
      </c>
      <c r="I107" s="1602">
        <v>50</v>
      </c>
      <c r="J107" s="1603">
        <v>4896034</v>
      </c>
      <c r="K107" s="1560">
        <f t="shared" si="6"/>
        <v>244801700</v>
      </c>
      <c r="L107" s="1560">
        <f t="shared" si="7"/>
        <v>277134</v>
      </c>
      <c r="M107" s="1560" t="s">
        <v>261</v>
      </c>
      <c r="N107" s="1562" t="s">
        <v>2977</v>
      </c>
    </row>
    <row r="108" spans="1:14" ht="18.75">
      <c r="A108" s="1526">
        <v>69</v>
      </c>
      <c r="B108" s="1597">
        <v>46</v>
      </c>
      <c r="C108" s="1598" t="s">
        <v>3046</v>
      </c>
      <c r="D108" s="1599" t="s">
        <v>209</v>
      </c>
      <c r="E108" s="1599" t="s">
        <v>209</v>
      </c>
      <c r="F108" s="1599">
        <v>1</v>
      </c>
      <c r="G108" s="1599">
        <v>1553200.0000000002</v>
      </c>
      <c r="H108" s="1599">
        <f t="shared" si="8"/>
        <v>1553200.0000000002</v>
      </c>
      <c r="I108" s="1602">
        <v>1</v>
      </c>
      <c r="J108" s="1603">
        <v>1646392</v>
      </c>
      <c r="K108" s="1560">
        <f t="shared" si="6"/>
        <v>1646392</v>
      </c>
      <c r="L108" s="1560">
        <f t="shared" si="7"/>
        <v>93191.999999999767</v>
      </c>
      <c r="M108" s="1560" t="s">
        <v>3047</v>
      </c>
      <c r="N108" s="1562" t="s">
        <v>2977</v>
      </c>
    </row>
    <row r="109" spans="1:14" ht="18.75">
      <c r="A109" s="1526">
        <v>70</v>
      </c>
      <c r="B109" s="1597">
        <v>47</v>
      </c>
      <c r="C109" s="1598" t="s">
        <v>3048</v>
      </c>
      <c r="D109" s="1599" t="s">
        <v>209</v>
      </c>
      <c r="E109" s="1599" t="s">
        <v>209</v>
      </c>
      <c r="F109" s="1599">
        <v>2</v>
      </c>
      <c r="G109" s="1599">
        <v>922900.00000000012</v>
      </c>
      <c r="H109" s="1599">
        <f t="shared" si="8"/>
        <v>1845800.0000000002</v>
      </c>
      <c r="I109" s="1602">
        <v>2</v>
      </c>
      <c r="J109" s="1603">
        <v>978274</v>
      </c>
      <c r="K109" s="1560">
        <f t="shared" si="6"/>
        <v>1956548</v>
      </c>
      <c r="L109" s="1560">
        <f t="shared" si="7"/>
        <v>55373.999999999884</v>
      </c>
      <c r="M109" s="1560" t="s">
        <v>3047</v>
      </c>
      <c r="N109" s="1562" t="s">
        <v>2977</v>
      </c>
    </row>
    <row r="110" spans="1:14">
      <c r="A110" s="1526">
        <v>71</v>
      </c>
      <c r="B110" s="1597">
        <v>48</v>
      </c>
      <c r="C110" s="1604" t="s">
        <v>3049</v>
      </c>
      <c r="D110" s="1529" t="s">
        <v>3050</v>
      </c>
      <c r="E110" s="1605" t="s">
        <v>2975</v>
      </c>
      <c r="F110" s="1599">
        <v>5</v>
      </c>
      <c r="G110" s="1599">
        <v>2514600</v>
      </c>
      <c r="H110" s="1599">
        <f t="shared" si="8"/>
        <v>12573000</v>
      </c>
      <c r="I110" s="1531">
        <v>5</v>
      </c>
      <c r="J110" s="1603">
        <v>2665476</v>
      </c>
      <c r="K110" s="1560">
        <f t="shared" si="6"/>
        <v>13327380</v>
      </c>
      <c r="L110" s="1560">
        <f t="shared" si="7"/>
        <v>150876</v>
      </c>
      <c r="M110" s="1560" t="s">
        <v>3051</v>
      </c>
      <c r="N110" s="1562" t="s">
        <v>2977</v>
      </c>
    </row>
    <row r="111" spans="1:14">
      <c r="A111" s="1526">
        <v>72</v>
      </c>
      <c r="B111" s="1597">
        <v>49</v>
      </c>
      <c r="C111" s="1604" t="s">
        <v>3052</v>
      </c>
      <c r="D111" s="1529" t="s">
        <v>3053</v>
      </c>
      <c r="E111" s="1605" t="s">
        <v>2975</v>
      </c>
      <c r="F111" s="1599">
        <v>5</v>
      </c>
      <c r="G111" s="1599">
        <v>5020050</v>
      </c>
      <c r="H111" s="1599">
        <f t="shared" si="8"/>
        <v>25100250</v>
      </c>
      <c r="I111" s="1531">
        <v>5</v>
      </c>
      <c r="J111" s="1603">
        <v>5321253</v>
      </c>
      <c r="K111" s="1560">
        <f t="shared" si="6"/>
        <v>26606265</v>
      </c>
      <c r="L111" s="1560">
        <f t="shared" si="7"/>
        <v>301203</v>
      </c>
      <c r="M111" s="1560" t="s">
        <v>3051</v>
      </c>
      <c r="N111" s="1562" t="s">
        <v>2977</v>
      </c>
    </row>
    <row r="112" spans="1:14" ht="18">
      <c r="A112" s="1526">
        <v>73</v>
      </c>
      <c r="B112" s="1597">
        <v>50</v>
      </c>
      <c r="C112" s="1604" t="s">
        <v>3054</v>
      </c>
      <c r="D112" s="1529" t="s">
        <v>3055</v>
      </c>
      <c r="E112" s="1605" t="s">
        <v>2975</v>
      </c>
      <c r="F112" s="1599">
        <v>6</v>
      </c>
      <c r="G112" s="1599">
        <v>3210900</v>
      </c>
      <c r="H112" s="1599">
        <f t="shared" si="8"/>
        <v>19265400</v>
      </c>
      <c r="I112" s="1531">
        <v>6</v>
      </c>
      <c r="J112" s="1603">
        <v>3645075</v>
      </c>
      <c r="K112" s="1560">
        <f t="shared" si="6"/>
        <v>21870450</v>
      </c>
      <c r="L112" s="1560">
        <f t="shared" si="7"/>
        <v>434175</v>
      </c>
      <c r="M112" s="1560" t="s">
        <v>3051</v>
      </c>
      <c r="N112" s="1562" t="s">
        <v>2977</v>
      </c>
    </row>
    <row r="113" spans="1:14">
      <c r="A113" s="1526">
        <v>74</v>
      </c>
      <c r="B113" s="1597">
        <v>51</v>
      </c>
      <c r="C113" s="1604" t="s">
        <v>3056</v>
      </c>
      <c r="D113" s="1529" t="s">
        <v>3057</v>
      </c>
      <c r="E113" s="1605" t="s">
        <v>2975</v>
      </c>
      <c r="F113" s="1599">
        <v>6</v>
      </c>
      <c r="G113" s="1599">
        <v>3438750</v>
      </c>
      <c r="H113" s="1599">
        <f t="shared" si="8"/>
        <v>20632500</v>
      </c>
      <c r="I113" s="1531">
        <v>6</v>
      </c>
      <c r="J113" s="1603">
        <v>3645075</v>
      </c>
      <c r="K113" s="1560">
        <f t="shared" si="6"/>
        <v>21870450</v>
      </c>
      <c r="L113" s="1560">
        <f t="shared" si="7"/>
        <v>206325</v>
      </c>
      <c r="M113" s="1560" t="s">
        <v>3051</v>
      </c>
      <c r="N113" s="1562" t="s">
        <v>2977</v>
      </c>
    </row>
    <row r="114" spans="1:14">
      <c r="A114" s="1526">
        <v>75</v>
      </c>
      <c r="B114" s="1597">
        <v>52</v>
      </c>
      <c r="C114" s="1604" t="s">
        <v>3058</v>
      </c>
      <c r="D114" s="1529" t="s">
        <v>3059</v>
      </c>
      <c r="E114" s="1605" t="s">
        <v>2975</v>
      </c>
      <c r="F114" s="1599">
        <v>6</v>
      </c>
      <c r="G114" s="1599">
        <v>2424450</v>
      </c>
      <c r="H114" s="1599">
        <f t="shared" si="8"/>
        <v>14546700</v>
      </c>
      <c r="I114" s="1531">
        <v>6</v>
      </c>
      <c r="J114" s="1603">
        <v>2569917</v>
      </c>
      <c r="K114" s="1560">
        <f t="shared" si="6"/>
        <v>15419502</v>
      </c>
      <c r="L114" s="1560">
        <f t="shared" si="7"/>
        <v>145467</v>
      </c>
      <c r="M114" s="1560" t="s">
        <v>3051</v>
      </c>
      <c r="N114" s="1562" t="s">
        <v>2977</v>
      </c>
    </row>
    <row r="115" spans="1:14">
      <c r="A115" s="1526">
        <v>76</v>
      </c>
      <c r="B115" s="1597">
        <v>53</v>
      </c>
      <c r="C115" s="1604" t="s">
        <v>3060</v>
      </c>
      <c r="D115" s="1529" t="s">
        <v>3061</v>
      </c>
      <c r="E115" s="1605" t="s">
        <v>2975</v>
      </c>
      <c r="F115" s="1599">
        <v>2</v>
      </c>
      <c r="G115" s="1599">
        <v>3055500</v>
      </c>
      <c r="H115" s="1599">
        <f t="shared" si="8"/>
        <v>6111000</v>
      </c>
      <c r="I115" s="1531">
        <v>2</v>
      </c>
      <c r="J115" s="1603">
        <v>3238830</v>
      </c>
      <c r="K115" s="1560">
        <f t="shared" si="6"/>
        <v>6477660</v>
      </c>
      <c r="L115" s="1560">
        <f t="shared" si="7"/>
        <v>183330</v>
      </c>
      <c r="M115" s="1560" t="s">
        <v>3051</v>
      </c>
      <c r="N115" s="1562" t="s">
        <v>2977</v>
      </c>
    </row>
    <row r="116" spans="1:14">
      <c r="A116" s="1526">
        <v>77</v>
      </c>
      <c r="B116" s="1597">
        <v>54</v>
      </c>
      <c r="C116" s="1604" t="s">
        <v>3062</v>
      </c>
      <c r="D116" s="1529" t="s">
        <v>3061</v>
      </c>
      <c r="E116" s="1605" t="s">
        <v>2975</v>
      </c>
      <c r="F116" s="1599">
        <v>2</v>
      </c>
      <c r="G116" s="1599">
        <v>2692200</v>
      </c>
      <c r="H116" s="1599">
        <f t="shared" si="8"/>
        <v>5384400</v>
      </c>
      <c r="I116" s="1531">
        <v>2</v>
      </c>
      <c r="J116" s="1603">
        <v>2853732</v>
      </c>
      <c r="K116" s="1560">
        <f t="shared" si="6"/>
        <v>5707464</v>
      </c>
      <c r="L116" s="1560">
        <f t="shared" si="7"/>
        <v>161532</v>
      </c>
      <c r="M116" s="1560" t="s">
        <v>3051</v>
      </c>
      <c r="N116" s="1562" t="s">
        <v>2977</v>
      </c>
    </row>
    <row r="117" spans="1:14">
      <c r="A117" s="1526">
        <v>78</v>
      </c>
      <c r="B117" s="1597">
        <v>55</v>
      </c>
      <c r="C117" s="1604" t="s">
        <v>3063</v>
      </c>
      <c r="D117" s="1529" t="s">
        <v>3064</v>
      </c>
      <c r="E117" s="1605" t="s">
        <v>2975</v>
      </c>
      <c r="F117" s="1599">
        <v>3</v>
      </c>
      <c r="G117" s="1599">
        <v>941850</v>
      </c>
      <c r="H117" s="1599">
        <f t="shared" si="8"/>
        <v>2825550</v>
      </c>
      <c r="I117" s="1531">
        <v>3</v>
      </c>
      <c r="J117" s="1603">
        <v>998361</v>
      </c>
      <c r="K117" s="1560">
        <f t="shared" si="6"/>
        <v>2995083</v>
      </c>
      <c r="L117" s="1560">
        <f t="shared" si="7"/>
        <v>56511</v>
      </c>
      <c r="M117" s="1560" t="s">
        <v>3051</v>
      </c>
      <c r="N117" s="1562" t="s">
        <v>2977</v>
      </c>
    </row>
    <row r="118" spans="1:14" ht="18.75">
      <c r="A118" s="1526">
        <v>79</v>
      </c>
      <c r="B118" s="1597">
        <v>56</v>
      </c>
      <c r="C118" s="1604" t="s">
        <v>3065</v>
      </c>
      <c r="D118" s="1529" t="s">
        <v>3066</v>
      </c>
      <c r="E118" s="1605" t="s">
        <v>2975</v>
      </c>
      <c r="F118" s="1599">
        <v>15</v>
      </c>
      <c r="G118" s="1599">
        <v>8816500</v>
      </c>
      <c r="H118" s="1599">
        <f t="shared" si="8"/>
        <v>132247500</v>
      </c>
      <c r="I118" s="1531">
        <v>15</v>
      </c>
      <c r="J118" s="1603">
        <v>9345490</v>
      </c>
      <c r="K118" s="1560">
        <f t="shared" si="6"/>
        <v>140182350</v>
      </c>
      <c r="L118" s="1560">
        <f t="shared" si="7"/>
        <v>528990</v>
      </c>
      <c r="M118" s="1560" t="s">
        <v>3067</v>
      </c>
      <c r="N118" s="1562" t="s">
        <v>2977</v>
      </c>
    </row>
    <row r="119" spans="1:14">
      <c r="A119" s="1526">
        <v>80</v>
      </c>
      <c r="B119" s="1597">
        <v>57</v>
      </c>
      <c r="C119" s="1604" t="s">
        <v>3068</v>
      </c>
      <c r="D119" s="1529" t="s">
        <v>3040</v>
      </c>
      <c r="E119" s="1605" t="s">
        <v>3041</v>
      </c>
      <c r="F119" s="1599">
        <v>5</v>
      </c>
      <c r="G119" s="1599">
        <v>3510100.0000000005</v>
      </c>
      <c r="H119" s="1599">
        <f t="shared" si="8"/>
        <v>17550500.000000004</v>
      </c>
      <c r="I119" s="1531">
        <v>5</v>
      </c>
      <c r="J119" s="1603">
        <v>3720706</v>
      </c>
      <c r="K119" s="1560">
        <f t="shared" si="6"/>
        <v>18603530</v>
      </c>
      <c r="L119" s="1560">
        <f t="shared" si="7"/>
        <v>210605.99999999953</v>
      </c>
      <c r="M119" s="1560" t="s">
        <v>3042</v>
      </c>
      <c r="N119" s="1562" t="s">
        <v>2977</v>
      </c>
    </row>
    <row r="120" spans="1:14">
      <c r="A120" s="1526">
        <v>81</v>
      </c>
      <c r="B120" s="1597">
        <v>58</v>
      </c>
      <c r="C120" s="1604" t="s">
        <v>3069</v>
      </c>
      <c r="D120" s="1529" t="s">
        <v>3070</v>
      </c>
      <c r="E120" s="1605" t="s">
        <v>3045</v>
      </c>
      <c r="F120" s="1599">
        <v>350</v>
      </c>
      <c r="G120" s="1599">
        <v>40700</v>
      </c>
      <c r="H120" s="1599">
        <f t="shared" si="8"/>
        <v>14245000</v>
      </c>
      <c r="I120" s="1531">
        <v>350</v>
      </c>
      <c r="J120" s="1603">
        <v>43142</v>
      </c>
      <c r="K120" s="1560">
        <f t="shared" si="6"/>
        <v>15099700</v>
      </c>
      <c r="L120" s="1560">
        <f t="shared" si="7"/>
        <v>2442</v>
      </c>
      <c r="M120" s="1560" t="s">
        <v>261</v>
      </c>
      <c r="N120" s="1562" t="s">
        <v>2977</v>
      </c>
    </row>
    <row r="121" spans="1:14">
      <c r="A121" s="1526">
        <v>82</v>
      </c>
      <c r="B121" s="1597">
        <v>59</v>
      </c>
      <c r="C121" s="1606" t="s">
        <v>3071</v>
      </c>
      <c r="D121" s="1529" t="s">
        <v>3072</v>
      </c>
      <c r="E121" s="1607" t="s">
        <v>3073</v>
      </c>
      <c r="F121" s="1599">
        <v>5</v>
      </c>
      <c r="G121" s="1599">
        <v>11867100</v>
      </c>
      <c r="H121" s="1599">
        <f t="shared" si="8"/>
        <v>59335500</v>
      </c>
      <c r="I121" s="1531">
        <v>5</v>
      </c>
      <c r="J121" s="1603">
        <v>12579126</v>
      </c>
      <c r="K121" s="1560">
        <f t="shared" si="6"/>
        <v>62895630</v>
      </c>
      <c r="L121" s="1560">
        <f t="shared" si="7"/>
        <v>712026</v>
      </c>
      <c r="M121" s="1560" t="s">
        <v>3074</v>
      </c>
      <c r="N121" s="1562" t="s">
        <v>2977</v>
      </c>
    </row>
    <row r="122" spans="1:14">
      <c r="A122" s="1526">
        <v>83</v>
      </c>
      <c r="B122" s="1597">
        <v>60</v>
      </c>
      <c r="C122" s="1606" t="s">
        <v>3075</v>
      </c>
      <c r="D122" s="1529" t="s">
        <v>3072</v>
      </c>
      <c r="E122" s="1607" t="s">
        <v>3073</v>
      </c>
      <c r="F122" s="1599">
        <v>5</v>
      </c>
      <c r="G122" s="1599">
        <v>11867100</v>
      </c>
      <c r="H122" s="1599">
        <f t="shared" si="8"/>
        <v>59335500</v>
      </c>
      <c r="I122" s="1531">
        <v>5</v>
      </c>
      <c r="J122" s="1603">
        <v>12579126</v>
      </c>
      <c r="K122" s="1560">
        <f t="shared" si="6"/>
        <v>62895630</v>
      </c>
      <c r="L122" s="1560">
        <f t="shared" si="7"/>
        <v>712026</v>
      </c>
      <c r="M122" s="1560" t="s">
        <v>3074</v>
      </c>
      <c r="N122" s="1562" t="s">
        <v>2977</v>
      </c>
    </row>
    <row r="123" spans="1:14">
      <c r="A123" s="1526">
        <v>84</v>
      </c>
      <c r="B123" s="1597">
        <v>61</v>
      </c>
      <c r="C123" s="1606" t="s">
        <v>3076</v>
      </c>
      <c r="D123" s="1529" t="s">
        <v>3077</v>
      </c>
      <c r="E123" s="1607" t="s">
        <v>3073</v>
      </c>
      <c r="F123" s="1599">
        <v>5</v>
      </c>
      <c r="G123" s="1599">
        <v>26607000</v>
      </c>
      <c r="H123" s="1599">
        <f t="shared" si="8"/>
        <v>133035000</v>
      </c>
      <c r="I123" s="1531">
        <v>5</v>
      </c>
      <c r="J123" s="1603">
        <v>27150077</v>
      </c>
      <c r="K123" s="1560">
        <f t="shared" si="6"/>
        <v>135750385</v>
      </c>
      <c r="L123" s="1560">
        <f t="shared" si="7"/>
        <v>543077</v>
      </c>
      <c r="M123" s="1560" t="s">
        <v>3074</v>
      </c>
      <c r="N123" s="1562" t="s">
        <v>2977</v>
      </c>
    </row>
    <row r="124" spans="1:14">
      <c r="A124" s="1526">
        <v>85</v>
      </c>
      <c r="B124" s="1597">
        <v>62</v>
      </c>
      <c r="C124" s="1608" t="s">
        <v>3078</v>
      </c>
      <c r="D124" s="1529" t="s">
        <v>3079</v>
      </c>
      <c r="E124" s="1607" t="s">
        <v>3073</v>
      </c>
      <c r="F124" s="1599">
        <v>5</v>
      </c>
      <c r="G124" s="1599">
        <v>6519450</v>
      </c>
      <c r="H124" s="1599">
        <f t="shared" si="8"/>
        <v>32597250</v>
      </c>
      <c r="I124" s="1531">
        <v>5</v>
      </c>
      <c r="J124" s="1603">
        <v>6910617</v>
      </c>
      <c r="K124" s="1560">
        <f t="shared" si="6"/>
        <v>34553085</v>
      </c>
      <c r="L124" s="1560">
        <f t="shared" si="7"/>
        <v>391167</v>
      </c>
      <c r="M124" s="1560" t="s">
        <v>3074</v>
      </c>
      <c r="N124" s="1562" t="s">
        <v>2977</v>
      </c>
    </row>
    <row r="125" spans="1:14">
      <c r="A125" s="1526">
        <v>86</v>
      </c>
      <c r="B125" s="1597">
        <v>63</v>
      </c>
      <c r="C125" s="1608" t="s">
        <v>3080</v>
      </c>
      <c r="D125" s="1529" t="s">
        <v>3081</v>
      </c>
      <c r="E125" s="1607" t="s">
        <v>3073</v>
      </c>
      <c r="F125" s="1599">
        <v>5</v>
      </c>
      <c r="G125" s="1599">
        <v>2487100</v>
      </c>
      <c r="H125" s="1599">
        <f t="shared" si="8"/>
        <v>12435500</v>
      </c>
      <c r="I125" s="1531">
        <v>5</v>
      </c>
      <c r="J125" s="1603">
        <v>2636326</v>
      </c>
      <c r="K125" s="1560">
        <f t="shared" si="6"/>
        <v>13181630</v>
      </c>
      <c r="L125" s="1560">
        <f t="shared" si="7"/>
        <v>149226</v>
      </c>
      <c r="M125" s="1560" t="s">
        <v>3074</v>
      </c>
      <c r="N125" s="1562" t="s">
        <v>2977</v>
      </c>
    </row>
    <row r="126" spans="1:14">
      <c r="A126" s="1526">
        <v>87</v>
      </c>
      <c r="B126" s="1597">
        <v>64</v>
      </c>
      <c r="C126" s="1608" t="s">
        <v>3082</v>
      </c>
      <c r="D126" s="1529" t="s">
        <v>3081</v>
      </c>
      <c r="E126" s="1607" t="s">
        <v>3073</v>
      </c>
      <c r="F126" s="1599">
        <v>5</v>
      </c>
      <c r="G126" s="1599">
        <v>6987200.0000000009</v>
      </c>
      <c r="H126" s="1599">
        <f t="shared" si="8"/>
        <v>34936000.000000007</v>
      </c>
      <c r="I126" s="1531">
        <v>5</v>
      </c>
      <c r="J126" s="1603">
        <v>7406432.0000000009</v>
      </c>
      <c r="K126" s="1560">
        <f t="shared" si="6"/>
        <v>37032160.000000007</v>
      </c>
      <c r="L126" s="1560">
        <f t="shared" si="7"/>
        <v>419232</v>
      </c>
      <c r="M126" s="1560" t="s">
        <v>3074</v>
      </c>
      <c r="N126" s="1562" t="s">
        <v>2977</v>
      </c>
    </row>
    <row r="127" spans="1:14">
      <c r="A127" s="1526">
        <v>88</v>
      </c>
      <c r="B127" s="1597">
        <v>65</v>
      </c>
      <c r="C127" s="1608" t="s">
        <v>3083</v>
      </c>
      <c r="D127" s="1529" t="s">
        <v>3084</v>
      </c>
      <c r="E127" s="1607" t="s">
        <v>3073</v>
      </c>
      <c r="F127" s="1599">
        <v>2</v>
      </c>
      <c r="G127" s="1599">
        <v>13750800</v>
      </c>
      <c r="H127" s="1599">
        <f t="shared" si="8"/>
        <v>27501600</v>
      </c>
      <c r="I127" s="1531">
        <v>2</v>
      </c>
      <c r="J127" s="1603">
        <v>14575848</v>
      </c>
      <c r="K127" s="1560">
        <f t="shared" ref="K127:K166" si="9">I127*J127</f>
        <v>29151696</v>
      </c>
      <c r="L127" s="1560">
        <f t="shared" ref="L127:L166" si="10">J127-G127</f>
        <v>825048</v>
      </c>
      <c r="M127" s="1560" t="s">
        <v>3074</v>
      </c>
      <c r="N127" s="1562" t="s">
        <v>2977</v>
      </c>
    </row>
    <row r="128" spans="1:14" ht="18">
      <c r="A128" s="1526">
        <v>89</v>
      </c>
      <c r="B128" s="1597">
        <v>66</v>
      </c>
      <c r="C128" s="1608" t="s">
        <v>3085</v>
      </c>
      <c r="D128" s="1529" t="s">
        <v>3086</v>
      </c>
      <c r="E128" s="1607" t="s">
        <v>3073</v>
      </c>
      <c r="F128" s="1599">
        <v>10</v>
      </c>
      <c r="G128" s="1599">
        <v>13750800</v>
      </c>
      <c r="H128" s="1599">
        <f t="shared" ref="H128:H166" si="11">G128*F128</f>
        <v>137508000</v>
      </c>
      <c r="I128" s="1531">
        <v>10</v>
      </c>
      <c r="J128" s="1603">
        <v>14575848</v>
      </c>
      <c r="K128" s="1560">
        <f t="shared" si="9"/>
        <v>145758480</v>
      </c>
      <c r="L128" s="1560">
        <f t="shared" si="10"/>
        <v>825048</v>
      </c>
      <c r="M128" s="1560" t="s">
        <v>3074</v>
      </c>
      <c r="N128" s="1562" t="s">
        <v>2977</v>
      </c>
    </row>
    <row r="129" spans="1:14" ht="18">
      <c r="A129" s="1526">
        <v>90</v>
      </c>
      <c r="B129" s="1597">
        <v>67</v>
      </c>
      <c r="C129" s="1609" t="s">
        <v>3087</v>
      </c>
      <c r="D129" s="1529" t="s">
        <v>3088</v>
      </c>
      <c r="E129" s="1607" t="s">
        <v>3073</v>
      </c>
      <c r="F129" s="1599">
        <v>5</v>
      </c>
      <c r="G129" s="1599">
        <v>14541450</v>
      </c>
      <c r="H129" s="1599">
        <f t="shared" si="11"/>
        <v>72707250</v>
      </c>
      <c r="I129" s="1531">
        <v>5</v>
      </c>
      <c r="J129" s="1603">
        <v>15413937</v>
      </c>
      <c r="K129" s="1560">
        <f t="shared" si="9"/>
        <v>77069685</v>
      </c>
      <c r="L129" s="1560">
        <f t="shared" si="10"/>
        <v>872487</v>
      </c>
      <c r="M129" s="1560" t="s">
        <v>3074</v>
      </c>
      <c r="N129" s="1562" t="s">
        <v>2977</v>
      </c>
    </row>
    <row r="130" spans="1:14" ht="18">
      <c r="A130" s="1526">
        <v>91</v>
      </c>
      <c r="B130" s="1597">
        <v>68</v>
      </c>
      <c r="C130" s="1609" t="s">
        <v>3089</v>
      </c>
      <c r="D130" s="1529" t="s">
        <v>3088</v>
      </c>
      <c r="E130" s="1607" t="s">
        <v>3073</v>
      </c>
      <c r="F130" s="1599">
        <v>5</v>
      </c>
      <c r="G130" s="1599">
        <v>14541450</v>
      </c>
      <c r="H130" s="1599">
        <f t="shared" si="11"/>
        <v>72707250</v>
      </c>
      <c r="I130" s="1531">
        <v>5</v>
      </c>
      <c r="J130" s="1603">
        <v>15413937</v>
      </c>
      <c r="K130" s="1560">
        <f t="shared" si="9"/>
        <v>77069685</v>
      </c>
      <c r="L130" s="1560">
        <f t="shared" si="10"/>
        <v>872487</v>
      </c>
      <c r="M130" s="1560" t="s">
        <v>3074</v>
      </c>
      <c r="N130" s="1562" t="s">
        <v>2977</v>
      </c>
    </row>
    <row r="131" spans="1:14" ht="18">
      <c r="A131" s="1526">
        <v>92</v>
      </c>
      <c r="B131" s="1597">
        <v>69</v>
      </c>
      <c r="C131" s="1608" t="s">
        <v>3090</v>
      </c>
      <c r="D131" s="1529" t="s">
        <v>3091</v>
      </c>
      <c r="E131" s="1607" t="s">
        <v>3073</v>
      </c>
      <c r="F131" s="1599">
        <v>8</v>
      </c>
      <c r="G131" s="1599">
        <v>19338900</v>
      </c>
      <c r="H131" s="1599">
        <f t="shared" si="11"/>
        <v>154711200</v>
      </c>
      <c r="I131" s="1531">
        <v>8</v>
      </c>
      <c r="J131" s="1603">
        <v>19733490</v>
      </c>
      <c r="K131" s="1560">
        <f t="shared" si="9"/>
        <v>157867920</v>
      </c>
      <c r="L131" s="1560">
        <f t="shared" si="10"/>
        <v>394590</v>
      </c>
      <c r="M131" s="1560" t="s">
        <v>3074</v>
      </c>
      <c r="N131" s="1562" t="s">
        <v>2977</v>
      </c>
    </row>
    <row r="132" spans="1:14" ht="18">
      <c r="A132" s="1526">
        <v>93</v>
      </c>
      <c r="B132" s="1597">
        <v>70</v>
      </c>
      <c r="C132" s="1608" t="s">
        <v>3092</v>
      </c>
      <c r="D132" s="1529" t="s">
        <v>3091</v>
      </c>
      <c r="E132" s="1607" t="s">
        <v>3073</v>
      </c>
      <c r="F132" s="1599">
        <v>8</v>
      </c>
      <c r="G132" s="1599">
        <v>19338900</v>
      </c>
      <c r="H132" s="1599">
        <f t="shared" si="11"/>
        <v>154711200</v>
      </c>
      <c r="I132" s="1531">
        <v>8</v>
      </c>
      <c r="J132" s="1603">
        <v>19733490</v>
      </c>
      <c r="K132" s="1560">
        <f t="shared" si="9"/>
        <v>157867920</v>
      </c>
      <c r="L132" s="1560">
        <f t="shared" si="10"/>
        <v>394590</v>
      </c>
      <c r="M132" s="1560" t="s">
        <v>3074</v>
      </c>
      <c r="N132" s="1562" t="s">
        <v>2977</v>
      </c>
    </row>
    <row r="133" spans="1:14" ht="18">
      <c r="A133" s="1526">
        <v>94</v>
      </c>
      <c r="B133" s="1597">
        <v>71</v>
      </c>
      <c r="C133" s="1608" t="s">
        <v>3093</v>
      </c>
      <c r="D133" s="1529" t="s">
        <v>3094</v>
      </c>
      <c r="E133" s="1607" t="s">
        <v>3073</v>
      </c>
      <c r="F133" s="1599">
        <v>8</v>
      </c>
      <c r="G133" s="1599">
        <v>29267700</v>
      </c>
      <c r="H133" s="1599">
        <f t="shared" si="11"/>
        <v>234141600</v>
      </c>
      <c r="I133" s="1531">
        <v>8</v>
      </c>
      <c r="J133" s="1603">
        <v>29864800</v>
      </c>
      <c r="K133" s="1560">
        <f t="shared" si="9"/>
        <v>238918400</v>
      </c>
      <c r="L133" s="1560">
        <f t="shared" si="10"/>
        <v>597100</v>
      </c>
      <c r="M133" s="1560" t="s">
        <v>3074</v>
      </c>
      <c r="N133" s="1562" t="s">
        <v>2977</v>
      </c>
    </row>
    <row r="134" spans="1:14" ht="18">
      <c r="A134" s="1526">
        <v>95</v>
      </c>
      <c r="B134" s="1597">
        <v>72</v>
      </c>
      <c r="C134" s="1609" t="s">
        <v>3095</v>
      </c>
      <c r="D134" s="1529" t="s">
        <v>3088</v>
      </c>
      <c r="E134" s="1607" t="s">
        <v>3073</v>
      </c>
      <c r="F134" s="1599">
        <v>2</v>
      </c>
      <c r="G134" s="1599">
        <v>15105300</v>
      </c>
      <c r="H134" s="1599">
        <f t="shared" si="11"/>
        <v>30210600</v>
      </c>
      <c r="I134" s="1531">
        <v>2</v>
      </c>
      <c r="J134" s="1603">
        <v>15413937</v>
      </c>
      <c r="K134" s="1560">
        <f t="shared" si="9"/>
        <v>30827874</v>
      </c>
      <c r="L134" s="1560">
        <f t="shared" si="10"/>
        <v>308637</v>
      </c>
      <c r="M134" s="1560" t="s">
        <v>3074</v>
      </c>
      <c r="N134" s="1562" t="s">
        <v>2977</v>
      </c>
    </row>
    <row r="135" spans="1:14" ht="18">
      <c r="A135" s="1526">
        <v>96</v>
      </c>
      <c r="B135" s="1597">
        <v>73</v>
      </c>
      <c r="C135" s="1609" t="s">
        <v>3096</v>
      </c>
      <c r="D135" s="1529" t="s">
        <v>3097</v>
      </c>
      <c r="E135" s="1607" t="s">
        <v>3073</v>
      </c>
      <c r="F135" s="1599">
        <v>2</v>
      </c>
      <c r="G135" s="1599">
        <v>14284200</v>
      </c>
      <c r="H135" s="1599">
        <f t="shared" si="11"/>
        <v>28568400</v>
      </c>
      <c r="I135" s="1531">
        <v>2</v>
      </c>
      <c r="J135" s="1603">
        <v>14575848</v>
      </c>
      <c r="K135" s="1560">
        <f t="shared" si="9"/>
        <v>29151696</v>
      </c>
      <c r="L135" s="1560">
        <f t="shared" si="10"/>
        <v>291648</v>
      </c>
      <c r="M135" s="1560" t="s">
        <v>3074</v>
      </c>
      <c r="N135" s="1562" t="s">
        <v>2977</v>
      </c>
    </row>
    <row r="136" spans="1:14" ht="18">
      <c r="A136" s="1526">
        <v>97</v>
      </c>
      <c r="B136" s="1597">
        <v>74</v>
      </c>
      <c r="C136" s="1609" t="s">
        <v>3098</v>
      </c>
      <c r="D136" s="1529" t="s">
        <v>3099</v>
      </c>
      <c r="E136" s="1607" t="s">
        <v>3073</v>
      </c>
      <c r="F136" s="1599">
        <v>2</v>
      </c>
      <c r="G136" s="1599">
        <v>12088650</v>
      </c>
      <c r="H136" s="1599">
        <f t="shared" si="11"/>
        <v>24177300</v>
      </c>
      <c r="I136" s="1531">
        <v>2</v>
      </c>
      <c r="J136" s="1603">
        <v>12335379</v>
      </c>
      <c r="K136" s="1560">
        <f t="shared" si="9"/>
        <v>24670758</v>
      </c>
      <c r="L136" s="1560">
        <f t="shared" si="10"/>
        <v>246729</v>
      </c>
      <c r="M136" s="1560" t="s">
        <v>3074</v>
      </c>
      <c r="N136" s="1562" t="s">
        <v>2977</v>
      </c>
    </row>
    <row r="137" spans="1:14" ht="18">
      <c r="A137" s="1526">
        <v>98</v>
      </c>
      <c r="B137" s="1597">
        <v>75</v>
      </c>
      <c r="C137" s="1609" t="s">
        <v>3100</v>
      </c>
      <c r="D137" s="1529" t="s">
        <v>3088</v>
      </c>
      <c r="E137" s="1607" t="s">
        <v>3073</v>
      </c>
      <c r="F137" s="1599">
        <v>2</v>
      </c>
      <c r="G137" s="1599">
        <v>16284450</v>
      </c>
      <c r="H137" s="1599">
        <f t="shared" si="11"/>
        <v>32568900</v>
      </c>
      <c r="I137" s="1531">
        <v>2</v>
      </c>
      <c r="J137" s="1603">
        <v>16617280</v>
      </c>
      <c r="K137" s="1560">
        <f t="shared" si="9"/>
        <v>33234560</v>
      </c>
      <c r="L137" s="1560">
        <f t="shared" si="10"/>
        <v>332830</v>
      </c>
      <c r="M137" s="1560" t="s">
        <v>3074</v>
      </c>
      <c r="N137" s="1562" t="s">
        <v>2977</v>
      </c>
    </row>
    <row r="138" spans="1:14" ht="18">
      <c r="A138" s="1526">
        <v>99</v>
      </c>
      <c r="B138" s="1597">
        <v>76</v>
      </c>
      <c r="C138" s="1609" t="s">
        <v>3101</v>
      </c>
      <c r="D138" s="1529" t="s">
        <v>3088</v>
      </c>
      <c r="E138" s="1607" t="s">
        <v>3073</v>
      </c>
      <c r="F138" s="1599">
        <v>2</v>
      </c>
      <c r="G138" s="1599">
        <v>11637150</v>
      </c>
      <c r="H138" s="1599">
        <f t="shared" si="11"/>
        <v>23274300</v>
      </c>
      <c r="I138" s="1531">
        <v>2</v>
      </c>
      <c r="J138" s="1603">
        <v>12335379</v>
      </c>
      <c r="K138" s="1560">
        <f t="shared" si="9"/>
        <v>24670758</v>
      </c>
      <c r="L138" s="1560">
        <f t="shared" si="10"/>
        <v>698229</v>
      </c>
      <c r="M138" s="1560" t="s">
        <v>3074</v>
      </c>
      <c r="N138" s="1562" t="s">
        <v>2977</v>
      </c>
    </row>
    <row r="139" spans="1:14" ht="18">
      <c r="A139" s="1526">
        <v>100</v>
      </c>
      <c r="B139" s="1597">
        <v>77</v>
      </c>
      <c r="C139" s="1609" t="s">
        <v>3102</v>
      </c>
      <c r="D139" s="1529" t="s">
        <v>3088</v>
      </c>
      <c r="E139" s="1607" t="s">
        <v>3073</v>
      </c>
      <c r="F139" s="1599">
        <v>10</v>
      </c>
      <c r="G139" s="1599">
        <v>16284450</v>
      </c>
      <c r="H139" s="1599">
        <f t="shared" si="11"/>
        <v>162844500</v>
      </c>
      <c r="I139" s="1531">
        <v>10</v>
      </c>
      <c r="J139" s="1603">
        <v>16617280</v>
      </c>
      <c r="K139" s="1560">
        <f t="shared" si="9"/>
        <v>166172800</v>
      </c>
      <c r="L139" s="1560">
        <f t="shared" si="10"/>
        <v>332830</v>
      </c>
      <c r="M139" s="1560" t="s">
        <v>3074</v>
      </c>
      <c r="N139" s="1562" t="s">
        <v>2977</v>
      </c>
    </row>
    <row r="140" spans="1:14" ht="18">
      <c r="A140" s="1526">
        <v>101</v>
      </c>
      <c r="B140" s="1597">
        <v>78</v>
      </c>
      <c r="C140" s="1609" t="s">
        <v>3103</v>
      </c>
      <c r="D140" s="1529" t="s">
        <v>3088</v>
      </c>
      <c r="E140" s="1607" t="s">
        <v>3073</v>
      </c>
      <c r="F140" s="1599">
        <v>2</v>
      </c>
      <c r="G140" s="1599">
        <v>16284450</v>
      </c>
      <c r="H140" s="1599">
        <f t="shared" si="11"/>
        <v>32568900</v>
      </c>
      <c r="I140" s="1531">
        <v>2</v>
      </c>
      <c r="J140" s="1603">
        <v>16617280</v>
      </c>
      <c r="K140" s="1560">
        <f t="shared" si="9"/>
        <v>33234560</v>
      </c>
      <c r="L140" s="1560">
        <f t="shared" si="10"/>
        <v>332830</v>
      </c>
      <c r="M140" s="1560" t="s">
        <v>3074</v>
      </c>
      <c r="N140" s="1562" t="s">
        <v>2977</v>
      </c>
    </row>
    <row r="141" spans="1:14" ht="18">
      <c r="A141" s="1526">
        <v>102</v>
      </c>
      <c r="B141" s="1597">
        <v>79</v>
      </c>
      <c r="C141" s="1609" t="s">
        <v>3104</v>
      </c>
      <c r="D141" s="1529" t="s">
        <v>3088</v>
      </c>
      <c r="E141" s="1607" t="s">
        <v>3073</v>
      </c>
      <c r="F141" s="1599">
        <v>2</v>
      </c>
      <c r="G141" s="1599">
        <v>12088650</v>
      </c>
      <c r="H141" s="1599">
        <f t="shared" si="11"/>
        <v>24177300</v>
      </c>
      <c r="I141" s="1531">
        <v>2</v>
      </c>
      <c r="J141" s="1603">
        <v>12335379</v>
      </c>
      <c r="K141" s="1560">
        <f t="shared" si="9"/>
        <v>24670758</v>
      </c>
      <c r="L141" s="1560">
        <f t="shared" si="10"/>
        <v>246729</v>
      </c>
      <c r="M141" s="1560" t="s">
        <v>3074</v>
      </c>
      <c r="N141" s="1562" t="s">
        <v>2977</v>
      </c>
    </row>
    <row r="142" spans="1:14" ht="18">
      <c r="A142" s="1526">
        <v>103</v>
      </c>
      <c r="B142" s="1597">
        <v>80</v>
      </c>
      <c r="C142" s="1609" t="s">
        <v>3105</v>
      </c>
      <c r="D142" s="1529" t="s">
        <v>3094</v>
      </c>
      <c r="E142" s="1607" t="s">
        <v>3073</v>
      </c>
      <c r="F142" s="1599">
        <v>2</v>
      </c>
      <c r="G142" s="1599">
        <v>12088650</v>
      </c>
      <c r="H142" s="1599">
        <f t="shared" si="11"/>
        <v>24177300</v>
      </c>
      <c r="I142" s="1531">
        <v>2</v>
      </c>
      <c r="J142" s="1603">
        <v>12335379</v>
      </c>
      <c r="K142" s="1560">
        <f t="shared" si="9"/>
        <v>24670758</v>
      </c>
      <c r="L142" s="1560">
        <f t="shared" si="10"/>
        <v>246729</v>
      </c>
      <c r="M142" s="1560" t="s">
        <v>3074</v>
      </c>
      <c r="N142" s="1562" t="s">
        <v>2977</v>
      </c>
    </row>
    <row r="143" spans="1:14" ht="18">
      <c r="A143" s="1526">
        <v>104</v>
      </c>
      <c r="B143" s="1597">
        <v>81</v>
      </c>
      <c r="C143" s="1609" t="s">
        <v>3106</v>
      </c>
      <c r="D143" s="1529" t="s">
        <v>3088</v>
      </c>
      <c r="E143" s="1607" t="s">
        <v>3073</v>
      </c>
      <c r="F143" s="1599">
        <v>2</v>
      </c>
      <c r="G143" s="1599">
        <v>11637150</v>
      </c>
      <c r="H143" s="1599">
        <f t="shared" si="11"/>
        <v>23274300</v>
      </c>
      <c r="I143" s="1531">
        <v>2</v>
      </c>
      <c r="J143" s="1603">
        <v>12335379</v>
      </c>
      <c r="K143" s="1560">
        <f t="shared" si="9"/>
        <v>24670758</v>
      </c>
      <c r="L143" s="1560">
        <f t="shared" si="10"/>
        <v>698229</v>
      </c>
      <c r="M143" s="1560" t="s">
        <v>3074</v>
      </c>
      <c r="N143" s="1562" t="s">
        <v>2977</v>
      </c>
    </row>
    <row r="144" spans="1:14" ht="18">
      <c r="A144" s="1526">
        <v>105</v>
      </c>
      <c r="B144" s="1597">
        <v>82</v>
      </c>
      <c r="C144" s="1609" t="s">
        <v>3107</v>
      </c>
      <c r="D144" s="1529" t="s">
        <v>3088</v>
      </c>
      <c r="E144" s="1607" t="s">
        <v>3073</v>
      </c>
      <c r="F144" s="1599">
        <v>2</v>
      </c>
      <c r="G144" s="1599">
        <v>14284200</v>
      </c>
      <c r="H144" s="1599">
        <f t="shared" si="11"/>
        <v>28568400</v>
      </c>
      <c r="I144" s="1531">
        <v>2</v>
      </c>
      <c r="J144" s="1603">
        <v>14575848</v>
      </c>
      <c r="K144" s="1560">
        <f t="shared" si="9"/>
        <v>29151696</v>
      </c>
      <c r="L144" s="1560">
        <f t="shared" si="10"/>
        <v>291648</v>
      </c>
      <c r="M144" s="1560" t="s">
        <v>3074</v>
      </c>
      <c r="N144" s="1562" t="s">
        <v>2977</v>
      </c>
    </row>
    <row r="145" spans="1:14" ht="18">
      <c r="A145" s="1526">
        <v>106</v>
      </c>
      <c r="B145" s="1597">
        <v>83</v>
      </c>
      <c r="C145" s="1609" t="s">
        <v>3108</v>
      </c>
      <c r="D145" s="1529" t="s">
        <v>3099</v>
      </c>
      <c r="E145" s="1607" t="s">
        <v>3073</v>
      </c>
      <c r="F145" s="1599">
        <v>2</v>
      </c>
      <c r="G145" s="1599">
        <v>11637150</v>
      </c>
      <c r="H145" s="1599">
        <f t="shared" si="11"/>
        <v>23274300</v>
      </c>
      <c r="I145" s="1531">
        <v>2</v>
      </c>
      <c r="J145" s="1603">
        <v>12335379</v>
      </c>
      <c r="K145" s="1560">
        <f t="shared" si="9"/>
        <v>24670758</v>
      </c>
      <c r="L145" s="1560">
        <f t="shared" si="10"/>
        <v>698229</v>
      </c>
      <c r="M145" s="1560" t="s">
        <v>3074</v>
      </c>
      <c r="N145" s="1562" t="s">
        <v>2977</v>
      </c>
    </row>
    <row r="146" spans="1:14" ht="18">
      <c r="A146" s="1526">
        <v>107</v>
      </c>
      <c r="B146" s="1597">
        <v>84</v>
      </c>
      <c r="C146" s="1609" t="s">
        <v>3109</v>
      </c>
      <c r="D146" s="1529" t="s">
        <v>3099</v>
      </c>
      <c r="E146" s="1607" t="s">
        <v>3073</v>
      </c>
      <c r="F146" s="1599">
        <v>2</v>
      </c>
      <c r="G146" s="1599">
        <v>11637150</v>
      </c>
      <c r="H146" s="1599">
        <f t="shared" si="11"/>
        <v>23274300</v>
      </c>
      <c r="I146" s="1531">
        <v>2</v>
      </c>
      <c r="J146" s="1603">
        <v>12335379</v>
      </c>
      <c r="K146" s="1560">
        <f t="shared" si="9"/>
        <v>24670758</v>
      </c>
      <c r="L146" s="1560">
        <f t="shared" si="10"/>
        <v>698229</v>
      </c>
      <c r="M146" s="1560" t="s">
        <v>3074</v>
      </c>
      <c r="N146" s="1562" t="s">
        <v>2977</v>
      </c>
    </row>
    <row r="147" spans="1:14" ht="18">
      <c r="A147" s="1526">
        <v>108</v>
      </c>
      <c r="B147" s="1597">
        <v>85</v>
      </c>
      <c r="C147" s="1609" t="s">
        <v>3110</v>
      </c>
      <c r="D147" s="1529" t="s">
        <v>3088</v>
      </c>
      <c r="E147" s="1607" t="s">
        <v>3073</v>
      </c>
      <c r="F147" s="1599">
        <v>2</v>
      </c>
      <c r="G147" s="1599">
        <v>15105300</v>
      </c>
      <c r="H147" s="1599">
        <f t="shared" si="11"/>
        <v>30210600</v>
      </c>
      <c r="I147" s="1531">
        <v>2</v>
      </c>
      <c r="J147" s="1603">
        <v>15413937</v>
      </c>
      <c r="K147" s="1560">
        <f t="shared" si="9"/>
        <v>30827874</v>
      </c>
      <c r="L147" s="1560">
        <f t="shared" si="10"/>
        <v>308637</v>
      </c>
      <c r="M147" s="1560" t="s">
        <v>3074</v>
      </c>
      <c r="N147" s="1562" t="s">
        <v>2977</v>
      </c>
    </row>
    <row r="148" spans="1:14" ht="18">
      <c r="A148" s="1526">
        <v>109</v>
      </c>
      <c r="B148" s="1597">
        <v>86</v>
      </c>
      <c r="C148" s="1609" t="s">
        <v>3111</v>
      </c>
      <c r="D148" s="1529" t="s">
        <v>3088</v>
      </c>
      <c r="E148" s="1607" t="s">
        <v>3073</v>
      </c>
      <c r="F148" s="1599">
        <v>2</v>
      </c>
      <c r="G148" s="1599">
        <v>15105300</v>
      </c>
      <c r="H148" s="1599">
        <f t="shared" si="11"/>
        <v>30210600</v>
      </c>
      <c r="I148" s="1531">
        <v>2</v>
      </c>
      <c r="J148" s="1603">
        <v>15413937</v>
      </c>
      <c r="K148" s="1560">
        <f t="shared" si="9"/>
        <v>30827874</v>
      </c>
      <c r="L148" s="1560">
        <f t="shared" si="10"/>
        <v>308637</v>
      </c>
      <c r="M148" s="1560" t="s">
        <v>3074</v>
      </c>
      <c r="N148" s="1562" t="s">
        <v>2977</v>
      </c>
    </row>
    <row r="149" spans="1:14" ht="18.75">
      <c r="A149" s="1526">
        <v>110</v>
      </c>
      <c r="B149" s="1597">
        <v>87</v>
      </c>
      <c r="C149" s="1610" t="s">
        <v>3112</v>
      </c>
      <c r="D149" s="1529" t="s">
        <v>3113</v>
      </c>
      <c r="E149" s="1607" t="s">
        <v>3073</v>
      </c>
      <c r="F149" s="1599">
        <v>100</v>
      </c>
      <c r="G149" s="1599">
        <v>2301600</v>
      </c>
      <c r="H149" s="1599">
        <f t="shared" si="11"/>
        <v>230160000</v>
      </c>
      <c r="I149" s="1531">
        <v>100</v>
      </c>
      <c r="J149" s="1603">
        <v>2439696</v>
      </c>
      <c r="K149" s="1560">
        <f t="shared" si="9"/>
        <v>243969600</v>
      </c>
      <c r="L149" s="1560">
        <f t="shared" si="10"/>
        <v>138096</v>
      </c>
      <c r="M149" s="1560" t="s">
        <v>3114</v>
      </c>
      <c r="N149" s="1562" t="s">
        <v>2977</v>
      </c>
    </row>
    <row r="150" spans="1:14">
      <c r="A150" s="1526">
        <v>111</v>
      </c>
      <c r="B150" s="1597">
        <v>88</v>
      </c>
      <c r="C150" s="1610" t="s">
        <v>3115</v>
      </c>
      <c r="D150" s="1529" t="s">
        <v>3116</v>
      </c>
      <c r="E150" s="1607" t="s">
        <v>3073</v>
      </c>
      <c r="F150" s="1599">
        <v>50</v>
      </c>
      <c r="G150" s="1599">
        <v>3182550</v>
      </c>
      <c r="H150" s="1599">
        <f t="shared" si="11"/>
        <v>159127500</v>
      </c>
      <c r="I150" s="1531">
        <v>50</v>
      </c>
      <c r="J150" s="1603">
        <v>3373503</v>
      </c>
      <c r="K150" s="1560">
        <f t="shared" si="9"/>
        <v>168675150</v>
      </c>
      <c r="L150" s="1560">
        <f t="shared" si="10"/>
        <v>190953</v>
      </c>
      <c r="M150" s="1560" t="s">
        <v>3117</v>
      </c>
      <c r="N150" s="1562" t="s">
        <v>2977</v>
      </c>
    </row>
    <row r="151" spans="1:14" ht="18">
      <c r="A151" s="1526">
        <v>112</v>
      </c>
      <c r="B151" s="1597">
        <v>89</v>
      </c>
      <c r="C151" s="1610" t="s">
        <v>3118</v>
      </c>
      <c r="D151" s="1529" t="s">
        <v>3119</v>
      </c>
      <c r="E151" s="1607" t="s">
        <v>3073</v>
      </c>
      <c r="F151" s="1599">
        <v>50</v>
      </c>
      <c r="G151" s="1599">
        <v>4965450</v>
      </c>
      <c r="H151" s="1599">
        <f t="shared" si="11"/>
        <v>248272500</v>
      </c>
      <c r="I151" s="1531">
        <v>50</v>
      </c>
      <c r="J151" s="1603">
        <v>5263377</v>
      </c>
      <c r="K151" s="1560">
        <f t="shared" si="9"/>
        <v>263168850</v>
      </c>
      <c r="L151" s="1560">
        <f t="shared" si="10"/>
        <v>297927</v>
      </c>
      <c r="M151" s="1560" t="s">
        <v>3117</v>
      </c>
      <c r="N151" s="1562" t="s">
        <v>2977</v>
      </c>
    </row>
    <row r="152" spans="1:14">
      <c r="A152" s="1526">
        <v>113</v>
      </c>
      <c r="B152" s="1597">
        <v>90</v>
      </c>
      <c r="C152" s="1610" t="s">
        <v>3120</v>
      </c>
      <c r="D152" s="1529" t="s">
        <v>3121</v>
      </c>
      <c r="E152" s="1607" t="s">
        <v>3073</v>
      </c>
      <c r="F152" s="1599">
        <v>35</v>
      </c>
      <c r="G152" s="1599">
        <v>2751000</v>
      </c>
      <c r="H152" s="1599">
        <f t="shared" si="11"/>
        <v>96285000</v>
      </c>
      <c r="I152" s="1531">
        <v>35</v>
      </c>
      <c r="J152" s="1603">
        <v>2916060</v>
      </c>
      <c r="K152" s="1560">
        <f t="shared" si="9"/>
        <v>102062100</v>
      </c>
      <c r="L152" s="1560">
        <f t="shared" si="10"/>
        <v>165060</v>
      </c>
      <c r="M152" s="1560" t="s">
        <v>3122</v>
      </c>
      <c r="N152" s="1562" t="s">
        <v>2977</v>
      </c>
    </row>
    <row r="153" spans="1:14" ht="18">
      <c r="A153" s="1526">
        <v>114</v>
      </c>
      <c r="B153" s="1597">
        <v>91</v>
      </c>
      <c r="C153" s="1610" t="s">
        <v>3123</v>
      </c>
      <c r="D153" s="1529" t="s">
        <v>3124</v>
      </c>
      <c r="E153" s="1607" t="s">
        <v>3073</v>
      </c>
      <c r="F153" s="1599">
        <v>1</v>
      </c>
      <c r="G153" s="1599">
        <v>10338300</v>
      </c>
      <c r="H153" s="1599">
        <f t="shared" si="11"/>
        <v>10338300</v>
      </c>
      <c r="I153" s="1531">
        <v>1</v>
      </c>
      <c r="J153" s="1603">
        <v>10958598</v>
      </c>
      <c r="K153" s="1560">
        <f t="shared" si="9"/>
        <v>10958598</v>
      </c>
      <c r="L153" s="1560">
        <f t="shared" si="10"/>
        <v>620298</v>
      </c>
      <c r="M153" s="1560" t="s">
        <v>3117</v>
      </c>
      <c r="N153" s="1562" t="s">
        <v>2977</v>
      </c>
    </row>
    <row r="154" spans="1:14">
      <c r="A154" s="1526">
        <v>115</v>
      </c>
      <c r="B154" s="1597">
        <v>92</v>
      </c>
      <c r="C154" s="1610" t="s">
        <v>3125</v>
      </c>
      <c r="D154" s="1529" t="s">
        <v>3126</v>
      </c>
      <c r="E154" s="1607" t="s">
        <v>3073</v>
      </c>
      <c r="F154" s="1599">
        <v>2</v>
      </c>
      <c r="G154" s="1599">
        <v>5868450</v>
      </c>
      <c r="H154" s="1599">
        <f t="shared" si="11"/>
        <v>11736900</v>
      </c>
      <c r="I154" s="1531">
        <v>2</v>
      </c>
      <c r="J154" s="1603">
        <v>6220557</v>
      </c>
      <c r="K154" s="1560">
        <f t="shared" si="9"/>
        <v>12441114</v>
      </c>
      <c r="L154" s="1560">
        <f t="shared" si="10"/>
        <v>352107</v>
      </c>
      <c r="M154" s="1560" t="s">
        <v>3117</v>
      </c>
      <c r="N154" s="1562" t="s">
        <v>2977</v>
      </c>
    </row>
    <row r="155" spans="1:14">
      <c r="A155" s="1526">
        <v>116</v>
      </c>
      <c r="B155" s="1597">
        <v>93</v>
      </c>
      <c r="C155" s="1610" t="s">
        <v>3127</v>
      </c>
      <c r="D155" s="1529" t="s">
        <v>3126</v>
      </c>
      <c r="E155" s="1607" t="s">
        <v>3073</v>
      </c>
      <c r="F155" s="1599">
        <v>3</v>
      </c>
      <c r="G155" s="1599">
        <v>3249750</v>
      </c>
      <c r="H155" s="1599">
        <f t="shared" si="11"/>
        <v>9749250</v>
      </c>
      <c r="I155" s="1531">
        <v>3</v>
      </c>
      <c r="J155" s="1603">
        <v>3444735</v>
      </c>
      <c r="K155" s="1560">
        <f t="shared" si="9"/>
        <v>10334205</v>
      </c>
      <c r="L155" s="1560">
        <f t="shared" si="10"/>
        <v>194985</v>
      </c>
      <c r="M155" s="1560" t="s">
        <v>3117</v>
      </c>
      <c r="N155" s="1562" t="s">
        <v>2977</v>
      </c>
    </row>
    <row r="156" spans="1:14" ht="45">
      <c r="A156" s="1526">
        <v>117</v>
      </c>
      <c r="B156" s="1597">
        <v>94</v>
      </c>
      <c r="C156" s="1610" t="s">
        <v>3128</v>
      </c>
      <c r="D156" s="1529" t="s">
        <v>3129</v>
      </c>
      <c r="E156" s="1607" t="s">
        <v>3130</v>
      </c>
      <c r="F156" s="1599">
        <v>12</v>
      </c>
      <c r="G156" s="1599">
        <v>2302377</v>
      </c>
      <c r="H156" s="1599">
        <f t="shared" si="11"/>
        <v>27628524</v>
      </c>
      <c r="I156" s="1531">
        <v>12</v>
      </c>
      <c r="J156" s="1603">
        <v>9762123</v>
      </c>
      <c r="K156" s="1560">
        <f t="shared" si="9"/>
        <v>117145476</v>
      </c>
      <c r="L156" s="1560">
        <f t="shared" si="10"/>
        <v>7459746</v>
      </c>
      <c r="M156" s="1560" t="s">
        <v>3117</v>
      </c>
      <c r="N156" s="1562" t="s">
        <v>2977</v>
      </c>
    </row>
    <row r="157" spans="1:14" ht="36">
      <c r="A157" s="1526">
        <v>118</v>
      </c>
      <c r="B157" s="1597">
        <v>95</v>
      </c>
      <c r="C157" s="1610" t="s">
        <v>3131</v>
      </c>
      <c r="D157" s="1529" t="s">
        <v>3132</v>
      </c>
      <c r="E157" s="1607" t="s">
        <v>3073</v>
      </c>
      <c r="F157" s="1599">
        <v>1</v>
      </c>
      <c r="G157" s="1599">
        <v>5214300</v>
      </c>
      <c r="H157" s="1599">
        <f t="shared" si="11"/>
        <v>5214300</v>
      </c>
      <c r="I157" s="1531">
        <v>1</v>
      </c>
      <c r="J157" s="1603">
        <v>5527158</v>
      </c>
      <c r="K157" s="1560">
        <f t="shared" si="9"/>
        <v>5527158</v>
      </c>
      <c r="L157" s="1560">
        <f t="shared" si="10"/>
        <v>312858</v>
      </c>
      <c r="M157" s="1560" t="s">
        <v>3117</v>
      </c>
      <c r="N157" s="1562" t="s">
        <v>2977</v>
      </c>
    </row>
    <row r="158" spans="1:14">
      <c r="A158" s="1526">
        <v>119</v>
      </c>
      <c r="B158" s="1597">
        <v>96</v>
      </c>
      <c r="C158" s="1610" t="s">
        <v>3133</v>
      </c>
      <c r="D158" s="1529" t="s">
        <v>3134</v>
      </c>
      <c r="E158" s="1607" t="s">
        <v>3073</v>
      </c>
      <c r="F158" s="1599">
        <v>2</v>
      </c>
      <c r="G158" s="1599">
        <v>5980800</v>
      </c>
      <c r="H158" s="1599">
        <f t="shared" si="11"/>
        <v>11961600</v>
      </c>
      <c r="I158" s="1531">
        <v>2</v>
      </c>
      <c r="J158" s="1603">
        <v>6339648</v>
      </c>
      <c r="K158" s="1560">
        <f t="shared" si="9"/>
        <v>12679296</v>
      </c>
      <c r="L158" s="1560">
        <f t="shared" si="10"/>
        <v>358848</v>
      </c>
      <c r="M158" s="1560" t="s">
        <v>3117</v>
      </c>
      <c r="N158" s="1562" t="s">
        <v>2977</v>
      </c>
    </row>
    <row r="159" spans="1:14" ht="18.75">
      <c r="A159" s="1526">
        <v>120</v>
      </c>
      <c r="B159" s="1597">
        <v>97</v>
      </c>
      <c r="C159" s="1610" t="s">
        <v>3135</v>
      </c>
      <c r="D159" s="1529" t="s">
        <v>3136</v>
      </c>
      <c r="E159" s="1607" t="s">
        <v>3073</v>
      </c>
      <c r="F159" s="1599">
        <v>140</v>
      </c>
      <c r="G159" s="1599">
        <v>1431150</v>
      </c>
      <c r="H159" s="1599">
        <f t="shared" si="11"/>
        <v>200361000</v>
      </c>
      <c r="I159" s="1531">
        <v>140</v>
      </c>
      <c r="J159" s="1603">
        <v>1517019</v>
      </c>
      <c r="K159" s="1560">
        <f t="shared" si="9"/>
        <v>212382660</v>
      </c>
      <c r="L159" s="1560">
        <f t="shared" si="10"/>
        <v>85869</v>
      </c>
      <c r="M159" s="1560" t="s">
        <v>3114</v>
      </c>
      <c r="N159" s="1562" t="s">
        <v>2977</v>
      </c>
    </row>
    <row r="160" spans="1:14" ht="18.75">
      <c r="A160" s="1526">
        <v>121</v>
      </c>
      <c r="B160" s="1597">
        <v>98</v>
      </c>
      <c r="C160" s="1610" t="s">
        <v>3137</v>
      </c>
      <c r="D160" s="1529" t="s">
        <v>3138</v>
      </c>
      <c r="E160" s="1607" t="s">
        <v>3073</v>
      </c>
      <c r="F160" s="1599">
        <v>16</v>
      </c>
      <c r="G160" s="1599">
        <v>21695100</v>
      </c>
      <c r="H160" s="1599">
        <f t="shared" si="11"/>
        <v>347121600</v>
      </c>
      <c r="I160" s="1531">
        <v>16</v>
      </c>
      <c r="J160" s="1603">
        <v>22996806</v>
      </c>
      <c r="K160" s="1560">
        <f t="shared" si="9"/>
        <v>367948896</v>
      </c>
      <c r="L160" s="1560">
        <f t="shared" si="10"/>
        <v>1301706</v>
      </c>
      <c r="M160" s="1560" t="s">
        <v>3114</v>
      </c>
      <c r="N160" s="1562" t="s">
        <v>2977</v>
      </c>
    </row>
    <row r="161" spans="1:14">
      <c r="A161" s="1526">
        <v>122</v>
      </c>
      <c r="B161" s="1597">
        <v>99</v>
      </c>
      <c r="C161" s="1610" t="s">
        <v>3139</v>
      </c>
      <c r="D161" s="1529" t="s">
        <v>3140</v>
      </c>
      <c r="E161" s="1607" t="s">
        <v>3073</v>
      </c>
      <c r="F161" s="1599">
        <v>16</v>
      </c>
      <c r="G161" s="1599">
        <v>8460900</v>
      </c>
      <c r="H161" s="1599">
        <f t="shared" si="11"/>
        <v>135374400</v>
      </c>
      <c r="I161" s="1531">
        <v>16</v>
      </c>
      <c r="J161" s="1603">
        <v>8968554</v>
      </c>
      <c r="K161" s="1560">
        <f t="shared" si="9"/>
        <v>143496864</v>
      </c>
      <c r="L161" s="1560">
        <f t="shared" si="10"/>
        <v>507654</v>
      </c>
      <c r="M161" s="1560" t="s">
        <v>3117</v>
      </c>
      <c r="N161" s="1562" t="s">
        <v>2977</v>
      </c>
    </row>
    <row r="162" spans="1:14" ht="18.75">
      <c r="A162" s="1526">
        <v>123</v>
      </c>
      <c r="B162" s="1597">
        <v>100</v>
      </c>
      <c r="C162" s="1610" t="s">
        <v>3141</v>
      </c>
      <c r="D162" s="1529" t="s">
        <v>3142</v>
      </c>
      <c r="E162" s="1607" t="s">
        <v>3073</v>
      </c>
      <c r="F162" s="1599">
        <v>16</v>
      </c>
      <c r="G162" s="1599">
        <v>7413000</v>
      </c>
      <c r="H162" s="1599">
        <f t="shared" si="11"/>
        <v>118608000</v>
      </c>
      <c r="I162" s="1531">
        <v>16</v>
      </c>
      <c r="J162" s="1603">
        <v>7857780</v>
      </c>
      <c r="K162" s="1560">
        <f t="shared" si="9"/>
        <v>125724480</v>
      </c>
      <c r="L162" s="1560">
        <f t="shared" si="10"/>
        <v>444780</v>
      </c>
      <c r="M162" s="1560" t="s">
        <v>3114</v>
      </c>
      <c r="N162" s="1562" t="s">
        <v>2977</v>
      </c>
    </row>
    <row r="163" spans="1:14" s="1619" customFormat="1">
      <c r="A163" s="1611">
        <v>124</v>
      </c>
      <c r="B163" s="1612">
        <v>101</v>
      </c>
      <c r="C163" s="1613" t="s">
        <v>3143</v>
      </c>
      <c r="D163" s="1614" t="s">
        <v>3144</v>
      </c>
      <c r="E163" s="1615" t="s">
        <v>3073</v>
      </c>
      <c r="F163" s="1599">
        <v>2</v>
      </c>
      <c r="G163" s="1599">
        <v>17553900</v>
      </c>
      <c r="H163" s="1599">
        <f t="shared" si="11"/>
        <v>35107800</v>
      </c>
      <c r="I163" s="1616">
        <v>2</v>
      </c>
      <c r="J163" s="1617">
        <v>18607134</v>
      </c>
      <c r="K163" s="1618">
        <f t="shared" si="9"/>
        <v>37214268</v>
      </c>
      <c r="L163" s="1560">
        <f t="shared" si="10"/>
        <v>1053234</v>
      </c>
      <c r="M163" s="1560" t="s">
        <v>3117</v>
      </c>
      <c r="N163" s="1562" t="s">
        <v>2977</v>
      </c>
    </row>
    <row r="164" spans="1:14" s="1619" customFormat="1" ht="36">
      <c r="A164" s="1611">
        <v>125</v>
      </c>
      <c r="B164" s="1612">
        <v>102</v>
      </c>
      <c r="C164" s="1620" t="s">
        <v>3145</v>
      </c>
      <c r="D164" s="1614" t="s">
        <v>3146</v>
      </c>
      <c r="E164" s="1615" t="s">
        <v>192</v>
      </c>
      <c r="F164" s="1599">
        <v>12</v>
      </c>
      <c r="G164" s="1599">
        <v>3873450</v>
      </c>
      <c r="H164" s="1599">
        <f t="shared" si="11"/>
        <v>46481400</v>
      </c>
      <c r="I164" s="1616">
        <v>12</v>
      </c>
      <c r="J164" s="1617">
        <v>4105857</v>
      </c>
      <c r="K164" s="1618">
        <f t="shared" si="9"/>
        <v>49270284</v>
      </c>
      <c r="L164" s="1560">
        <f t="shared" si="10"/>
        <v>232407</v>
      </c>
      <c r="M164" s="1560" t="s">
        <v>3117</v>
      </c>
      <c r="N164" s="1562" t="s">
        <v>2977</v>
      </c>
    </row>
    <row r="165" spans="1:14" s="1619" customFormat="1">
      <c r="A165" s="1611">
        <v>126</v>
      </c>
      <c r="B165" s="1612">
        <v>103</v>
      </c>
      <c r="C165" s="1620" t="s">
        <v>3147</v>
      </c>
      <c r="D165" s="1614" t="s">
        <v>3148</v>
      </c>
      <c r="E165" s="1615" t="s">
        <v>3073</v>
      </c>
      <c r="F165" s="1599">
        <v>3</v>
      </c>
      <c r="G165" s="1599">
        <v>5215350</v>
      </c>
      <c r="H165" s="1599">
        <f t="shared" si="11"/>
        <v>15646050</v>
      </c>
      <c r="I165" s="1616">
        <v>3</v>
      </c>
      <c r="J165" s="1617">
        <v>5528271</v>
      </c>
      <c r="K165" s="1618">
        <f t="shared" si="9"/>
        <v>16584813</v>
      </c>
      <c r="L165" s="1560">
        <f t="shared" si="10"/>
        <v>312921</v>
      </c>
      <c r="M165" s="1560" t="s">
        <v>3117</v>
      </c>
      <c r="N165" s="1562" t="s">
        <v>2977</v>
      </c>
    </row>
    <row r="166" spans="1:14" s="1619" customFormat="1">
      <c r="A166" s="1621">
        <v>127</v>
      </c>
      <c r="B166" s="1622">
        <v>104</v>
      </c>
      <c r="C166" s="1623" t="s">
        <v>3149</v>
      </c>
      <c r="D166" s="1624" t="s">
        <v>3150</v>
      </c>
      <c r="E166" s="1625" t="s">
        <v>3073</v>
      </c>
      <c r="F166" s="1626">
        <v>3</v>
      </c>
      <c r="G166" s="1626">
        <v>4940250</v>
      </c>
      <c r="H166" s="1626">
        <f t="shared" si="11"/>
        <v>14820750</v>
      </c>
      <c r="I166" s="1627">
        <v>3</v>
      </c>
      <c r="J166" s="1628">
        <v>6220032</v>
      </c>
      <c r="K166" s="1629">
        <f t="shared" si="9"/>
        <v>18660096</v>
      </c>
      <c r="L166" s="1630">
        <f t="shared" si="10"/>
        <v>1279782</v>
      </c>
      <c r="M166" s="1630" t="s">
        <v>3117</v>
      </c>
      <c r="N166" s="1631" t="s">
        <v>2977</v>
      </c>
    </row>
    <row r="167" spans="1:14" s="1619" customFormat="1">
      <c r="A167" s="1632"/>
      <c r="B167" s="1633"/>
      <c r="C167" s="1634" t="s">
        <v>958</v>
      </c>
      <c r="D167" s="1635"/>
      <c r="E167" s="1635"/>
      <c r="F167" s="1636"/>
      <c r="G167" s="1636"/>
      <c r="H167" s="1637">
        <f>SUM(H63:H166)</f>
        <v>4782780274</v>
      </c>
      <c r="I167" s="1638"/>
      <c r="J167" s="1639"/>
      <c r="K167" s="1640">
        <f>SUM(K63:K166)</f>
        <v>5100527919</v>
      </c>
      <c r="L167" s="1640"/>
      <c r="M167" s="1641"/>
      <c r="N167" s="1642"/>
    </row>
    <row r="168" spans="1:14">
      <c r="A168" s="1512"/>
      <c r="B168" s="1550"/>
      <c r="C168" s="1588"/>
      <c r="D168" s="1515"/>
      <c r="E168" s="1515"/>
      <c r="F168" s="1589"/>
      <c r="G168" s="1589"/>
      <c r="H168" s="1589"/>
      <c r="I168" s="1643"/>
      <c r="J168" s="1586"/>
      <c r="K168" s="1585"/>
      <c r="L168" s="1585"/>
    </row>
    <row r="169" spans="1:14">
      <c r="A169" s="1512"/>
      <c r="B169" s="1550"/>
      <c r="C169" s="1588"/>
      <c r="D169" s="1515"/>
      <c r="E169" s="1515"/>
      <c r="F169" s="1589"/>
      <c r="G169" s="1589"/>
      <c r="H169" s="1589"/>
      <c r="I169" s="1643"/>
      <c r="J169" s="1586"/>
      <c r="K169" s="1585"/>
      <c r="L169" s="1585"/>
    </row>
    <row r="170" spans="1:14">
      <c r="A170" s="1512"/>
      <c r="B170" s="1550"/>
      <c r="C170" s="1588"/>
      <c r="D170" s="1515"/>
      <c r="E170" s="1515"/>
      <c r="F170" s="1589"/>
      <c r="G170" s="1589"/>
      <c r="H170" s="1589"/>
      <c r="I170" s="1643"/>
      <c r="J170" s="1586"/>
      <c r="K170" s="1585"/>
      <c r="L170" s="1585"/>
    </row>
    <row r="171" spans="1:14" ht="18.75">
      <c r="A171" s="2214" t="s">
        <v>3151</v>
      </c>
      <c r="B171" s="2214"/>
      <c r="C171" s="2214"/>
      <c r="D171" s="2214"/>
      <c r="E171" s="2214"/>
      <c r="F171" s="2214"/>
      <c r="G171" s="2214"/>
      <c r="H171" s="2214"/>
      <c r="I171" s="2214"/>
      <c r="J171" s="2214"/>
      <c r="K171" s="2214"/>
      <c r="L171" s="1644"/>
    </row>
    <row r="172" spans="1:14">
      <c r="B172" s="1645"/>
      <c r="C172" s="1646"/>
      <c r="D172" s="1645"/>
      <c r="E172" s="1645"/>
      <c r="F172" s="1589"/>
      <c r="G172" s="1589"/>
      <c r="H172" s="1589"/>
      <c r="I172" s="1643"/>
      <c r="J172" s="1586"/>
      <c r="K172" s="1586"/>
      <c r="L172" s="1586"/>
    </row>
    <row r="173" spans="1:14" ht="27">
      <c r="A173" s="2197" t="s">
        <v>2901</v>
      </c>
      <c r="B173" s="2199" t="s">
        <v>2902</v>
      </c>
      <c r="C173" s="2201" t="s">
        <v>2607</v>
      </c>
      <c r="D173" s="2203" t="s">
        <v>2608</v>
      </c>
      <c r="E173" s="2199" t="s">
        <v>2609</v>
      </c>
      <c r="F173" s="2205" t="s">
        <v>2903</v>
      </c>
      <c r="G173" s="2206"/>
      <c r="H173" s="2207"/>
      <c r="I173" s="2205" t="s">
        <v>2904</v>
      </c>
      <c r="J173" s="2206"/>
      <c r="K173" s="2207"/>
      <c r="L173" s="1476" t="s">
        <v>2905</v>
      </c>
      <c r="M173" s="2197" t="s">
        <v>2906</v>
      </c>
      <c r="N173" s="2208" t="s">
        <v>2907</v>
      </c>
    </row>
    <row r="174" spans="1:14">
      <c r="A174" s="2198"/>
      <c r="B174" s="2200"/>
      <c r="C174" s="2210"/>
      <c r="D174" s="2211"/>
      <c r="E174" s="2200"/>
      <c r="F174" s="1477" t="s">
        <v>2908</v>
      </c>
      <c r="G174" s="1476" t="s">
        <v>2611</v>
      </c>
      <c r="H174" s="1476" t="s">
        <v>2612</v>
      </c>
      <c r="I174" s="1477" t="s">
        <v>2908</v>
      </c>
      <c r="J174" s="1476" t="s">
        <v>2611</v>
      </c>
      <c r="K174" s="1478" t="s">
        <v>2612</v>
      </c>
      <c r="L174" s="1479"/>
      <c r="M174" s="2198"/>
      <c r="N174" s="2209"/>
    </row>
    <row r="175" spans="1:14">
      <c r="A175" s="1480">
        <v>128</v>
      </c>
      <c r="B175" s="1647">
        <v>1</v>
      </c>
      <c r="C175" s="1648" t="s">
        <v>3152</v>
      </c>
      <c r="D175" s="1523" t="s">
        <v>3153</v>
      </c>
      <c r="E175" s="1649" t="s">
        <v>2975</v>
      </c>
      <c r="F175" s="1594">
        <v>14</v>
      </c>
      <c r="G175" s="1594">
        <v>11126850</v>
      </c>
      <c r="H175" s="1594">
        <f>G175*F175</f>
        <v>155775900</v>
      </c>
      <c r="I175" s="1650">
        <v>14</v>
      </c>
      <c r="J175" s="1651">
        <v>11562957</v>
      </c>
      <c r="K175" s="1652">
        <f t="shared" ref="K175:K238" si="12">I175*J175</f>
        <v>161881398</v>
      </c>
      <c r="L175" s="1652">
        <f t="shared" ref="L175:L238" si="13">J175-G175</f>
        <v>436107</v>
      </c>
      <c r="M175" s="1648" t="s">
        <v>3154</v>
      </c>
      <c r="N175" s="1648" t="s">
        <v>2977</v>
      </c>
    </row>
    <row r="176" spans="1:14" ht="18">
      <c r="A176" s="1488">
        <v>129</v>
      </c>
      <c r="B176" s="1653">
        <v>2</v>
      </c>
      <c r="C176" s="1654" t="s">
        <v>3155</v>
      </c>
      <c r="D176" s="1529" t="s">
        <v>3156</v>
      </c>
      <c r="E176" s="1655" t="s">
        <v>2975</v>
      </c>
      <c r="F176" s="1600">
        <v>5</v>
      </c>
      <c r="G176" s="1600">
        <v>72438450</v>
      </c>
      <c r="H176" s="1600">
        <f t="shared" ref="H176:H239" si="14">G176*F176</f>
        <v>362192250</v>
      </c>
      <c r="I176" s="1602">
        <v>5</v>
      </c>
      <c r="J176" s="1603">
        <v>75278868</v>
      </c>
      <c r="K176" s="1560">
        <f t="shared" si="12"/>
        <v>376394340</v>
      </c>
      <c r="L176" s="1560">
        <f t="shared" si="13"/>
        <v>2840418</v>
      </c>
      <c r="M176" s="1654" t="s">
        <v>3157</v>
      </c>
      <c r="N176" s="1654" t="s">
        <v>2977</v>
      </c>
    </row>
    <row r="177" spans="1:14">
      <c r="A177" s="1488">
        <v>130</v>
      </c>
      <c r="B177" s="1653">
        <v>3</v>
      </c>
      <c r="C177" s="1654" t="s">
        <v>3158</v>
      </c>
      <c r="D177" s="1529" t="s">
        <v>3159</v>
      </c>
      <c r="E177" s="1655" t="s">
        <v>2975</v>
      </c>
      <c r="F177" s="1600">
        <v>12</v>
      </c>
      <c r="G177" s="1600">
        <v>2454900</v>
      </c>
      <c r="H177" s="1600">
        <f t="shared" si="14"/>
        <v>29458800</v>
      </c>
      <c r="I177" s="1602">
        <v>12</v>
      </c>
      <c r="J177" s="1603">
        <v>2550996</v>
      </c>
      <c r="K177" s="1560">
        <f t="shared" si="12"/>
        <v>30611952</v>
      </c>
      <c r="L177" s="1560">
        <f t="shared" si="13"/>
        <v>96096</v>
      </c>
      <c r="M177" s="1654" t="s">
        <v>3154</v>
      </c>
      <c r="N177" s="1654" t="s">
        <v>2977</v>
      </c>
    </row>
    <row r="178" spans="1:14">
      <c r="A178" s="1488">
        <v>131</v>
      </c>
      <c r="B178" s="1653">
        <v>4</v>
      </c>
      <c r="C178" s="1654" t="s">
        <v>3160</v>
      </c>
      <c r="D178" s="1529" t="s">
        <v>3161</v>
      </c>
      <c r="E178" s="1655" t="s">
        <v>2975</v>
      </c>
      <c r="F178" s="1600">
        <v>12</v>
      </c>
      <c r="G178" s="1600">
        <v>4126500</v>
      </c>
      <c r="H178" s="1600">
        <f t="shared" si="14"/>
        <v>49518000</v>
      </c>
      <c r="I178" s="1602">
        <v>12</v>
      </c>
      <c r="J178" s="1603">
        <v>4288389</v>
      </c>
      <c r="K178" s="1560">
        <f t="shared" si="12"/>
        <v>51460668</v>
      </c>
      <c r="L178" s="1560">
        <f t="shared" si="13"/>
        <v>161889</v>
      </c>
      <c r="M178" s="1654" t="s">
        <v>3154</v>
      </c>
      <c r="N178" s="1654" t="s">
        <v>2977</v>
      </c>
    </row>
    <row r="179" spans="1:14">
      <c r="A179" s="1488">
        <v>132</v>
      </c>
      <c r="B179" s="1653">
        <v>5</v>
      </c>
      <c r="C179" s="1654" t="s">
        <v>3162</v>
      </c>
      <c r="D179" s="1529" t="s">
        <v>3163</v>
      </c>
      <c r="E179" s="1655" t="s">
        <v>2975</v>
      </c>
      <c r="F179" s="1600">
        <v>100</v>
      </c>
      <c r="G179" s="1600">
        <v>4187400</v>
      </c>
      <c r="H179" s="1600">
        <f t="shared" si="14"/>
        <v>418740000</v>
      </c>
      <c r="I179" s="1602">
        <v>100</v>
      </c>
      <c r="J179" s="1603">
        <v>4351830</v>
      </c>
      <c r="K179" s="1560">
        <f t="shared" si="12"/>
        <v>435183000</v>
      </c>
      <c r="L179" s="1560">
        <f t="shared" si="13"/>
        <v>164430</v>
      </c>
      <c r="M179" s="1654" t="s">
        <v>3154</v>
      </c>
      <c r="N179" s="1654" t="s">
        <v>2977</v>
      </c>
    </row>
    <row r="180" spans="1:14">
      <c r="A180" s="1488">
        <v>133</v>
      </c>
      <c r="B180" s="1653">
        <v>6</v>
      </c>
      <c r="C180" s="1654" t="s">
        <v>3164</v>
      </c>
      <c r="D180" s="1529" t="s">
        <v>3165</v>
      </c>
      <c r="E180" s="1655" t="s">
        <v>2975</v>
      </c>
      <c r="F180" s="1600">
        <v>2</v>
      </c>
      <c r="G180" s="1600">
        <v>15478050</v>
      </c>
      <c r="H180" s="1600">
        <f t="shared" si="14"/>
        <v>30956100</v>
      </c>
      <c r="I180" s="1602">
        <v>2</v>
      </c>
      <c r="J180" s="1603">
        <v>16085076</v>
      </c>
      <c r="K180" s="1560">
        <f t="shared" si="12"/>
        <v>32170152</v>
      </c>
      <c r="L180" s="1560">
        <f t="shared" si="13"/>
        <v>607026</v>
      </c>
      <c r="M180" s="1654" t="s">
        <v>3154</v>
      </c>
      <c r="N180" s="1654" t="s">
        <v>2977</v>
      </c>
    </row>
    <row r="181" spans="1:14">
      <c r="A181" s="1488">
        <v>134</v>
      </c>
      <c r="B181" s="1653">
        <v>7</v>
      </c>
      <c r="C181" s="1654" t="s">
        <v>3166</v>
      </c>
      <c r="D181" s="1529" t="s">
        <v>3167</v>
      </c>
      <c r="E181" s="1655" t="s">
        <v>2975</v>
      </c>
      <c r="F181" s="1600">
        <v>2</v>
      </c>
      <c r="G181" s="1600">
        <v>17353350</v>
      </c>
      <c r="H181" s="1600">
        <f t="shared" si="14"/>
        <v>34706700</v>
      </c>
      <c r="I181" s="1602">
        <v>2</v>
      </c>
      <c r="J181" s="1603">
        <v>18033939</v>
      </c>
      <c r="K181" s="1560">
        <f t="shared" si="12"/>
        <v>36067878</v>
      </c>
      <c r="L181" s="1560">
        <f t="shared" si="13"/>
        <v>680589</v>
      </c>
      <c r="M181" s="1654" t="s">
        <v>3154</v>
      </c>
      <c r="N181" s="1654" t="s">
        <v>2977</v>
      </c>
    </row>
    <row r="182" spans="1:14">
      <c r="A182" s="1488">
        <v>135</v>
      </c>
      <c r="B182" s="1653">
        <v>8</v>
      </c>
      <c r="C182" s="1654" t="s">
        <v>3168</v>
      </c>
      <c r="D182" s="1529" t="s">
        <v>3169</v>
      </c>
      <c r="E182" s="1655" t="s">
        <v>2975</v>
      </c>
      <c r="F182" s="1600">
        <v>2</v>
      </c>
      <c r="G182" s="1600">
        <v>18062100</v>
      </c>
      <c r="H182" s="1600">
        <f t="shared" si="14"/>
        <v>36124200</v>
      </c>
      <c r="I182" s="1602">
        <v>2</v>
      </c>
      <c r="J182" s="1603">
        <v>18770745</v>
      </c>
      <c r="K182" s="1560">
        <f t="shared" si="12"/>
        <v>37541490</v>
      </c>
      <c r="L182" s="1560">
        <f t="shared" si="13"/>
        <v>708645</v>
      </c>
      <c r="M182" s="1654" t="s">
        <v>3154</v>
      </c>
      <c r="N182" s="1654" t="s">
        <v>2977</v>
      </c>
    </row>
    <row r="183" spans="1:14">
      <c r="A183" s="1488">
        <v>136</v>
      </c>
      <c r="B183" s="1653">
        <v>9</v>
      </c>
      <c r="C183" s="1654" t="s">
        <v>3170</v>
      </c>
      <c r="D183" s="1529" t="s">
        <v>3171</v>
      </c>
      <c r="E183" s="1655" t="s">
        <v>2975</v>
      </c>
      <c r="F183" s="1600">
        <v>2</v>
      </c>
      <c r="G183" s="1600">
        <v>15478050</v>
      </c>
      <c r="H183" s="1600">
        <f t="shared" si="14"/>
        <v>30956100</v>
      </c>
      <c r="I183" s="1602">
        <v>2</v>
      </c>
      <c r="J183" s="1603">
        <v>16085076</v>
      </c>
      <c r="K183" s="1560">
        <f t="shared" si="12"/>
        <v>32170152</v>
      </c>
      <c r="L183" s="1560">
        <f t="shared" si="13"/>
        <v>607026</v>
      </c>
      <c r="M183" s="1654" t="s">
        <v>3154</v>
      </c>
      <c r="N183" s="1654" t="s">
        <v>2977</v>
      </c>
    </row>
    <row r="184" spans="1:14">
      <c r="A184" s="1488">
        <v>137</v>
      </c>
      <c r="B184" s="1653">
        <v>10</v>
      </c>
      <c r="C184" s="1654" t="s">
        <v>2070</v>
      </c>
      <c r="D184" s="1529" t="s">
        <v>3172</v>
      </c>
      <c r="E184" s="1655" t="s">
        <v>2975</v>
      </c>
      <c r="F184" s="1600">
        <v>10</v>
      </c>
      <c r="G184" s="1600">
        <v>38709300</v>
      </c>
      <c r="H184" s="1600">
        <f t="shared" si="14"/>
        <v>387093000</v>
      </c>
      <c r="I184" s="1602">
        <v>10</v>
      </c>
      <c r="J184" s="1603">
        <v>40227159</v>
      </c>
      <c r="K184" s="1560">
        <f t="shared" si="12"/>
        <v>402271590</v>
      </c>
      <c r="L184" s="1560">
        <f t="shared" si="13"/>
        <v>1517859</v>
      </c>
      <c r="M184" s="1654" t="s">
        <v>3173</v>
      </c>
      <c r="N184" s="1654" t="s">
        <v>2977</v>
      </c>
    </row>
    <row r="185" spans="1:14">
      <c r="A185" s="1488">
        <v>138</v>
      </c>
      <c r="B185" s="1653">
        <v>11</v>
      </c>
      <c r="C185" s="1654" t="s">
        <v>3174</v>
      </c>
      <c r="D185" s="1529" t="s">
        <v>3175</v>
      </c>
      <c r="E185" s="1655" t="s">
        <v>2975</v>
      </c>
      <c r="F185" s="1600">
        <v>100</v>
      </c>
      <c r="G185" s="1600">
        <v>4187400</v>
      </c>
      <c r="H185" s="1600">
        <f t="shared" si="14"/>
        <v>418740000</v>
      </c>
      <c r="I185" s="1602">
        <v>100</v>
      </c>
      <c r="J185" s="1603">
        <v>4351830</v>
      </c>
      <c r="K185" s="1560">
        <f t="shared" si="12"/>
        <v>435183000</v>
      </c>
      <c r="L185" s="1560">
        <f t="shared" si="13"/>
        <v>164430</v>
      </c>
      <c r="M185" s="1654" t="s">
        <v>3154</v>
      </c>
      <c r="N185" s="1654" t="s">
        <v>2977</v>
      </c>
    </row>
    <row r="186" spans="1:14">
      <c r="A186" s="1488">
        <v>139</v>
      </c>
      <c r="B186" s="1653">
        <v>12</v>
      </c>
      <c r="C186" s="1654" t="s">
        <v>3176</v>
      </c>
      <c r="D186" s="1529" t="s">
        <v>3177</v>
      </c>
      <c r="E186" s="1655" t="s">
        <v>2975</v>
      </c>
      <c r="F186" s="1600">
        <v>2</v>
      </c>
      <c r="G186" s="1600">
        <v>27868050</v>
      </c>
      <c r="H186" s="1600">
        <f t="shared" si="14"/>
        <v>55736100</v>
      </c>
      <c r="I186" s="1602">
        <v>2</v>
      </c>
      <c r="J186" s="1603">
        <v>28961373</v>
      </c>
      <c r="K186" s="1560">
        <f t="shared" si="12"/>
        <v>57922746</v>
      </c>
      <c r="L186" s="1560">
        <f t="shared" si="13"/>
        <v>1093323</v>
      </c>
      <c r="M186" s="1654" t="s">
        <v>3154</v>
      </c>
      <c r="N186" s="1654" t="s">
        <v>2977</v>
      </c>
    </row>
    <row r="187" spans="1:14" ht="18">
      <c r="A187" s="1488">
        <v>140</v>
      </c>
      <c r="B187" s="1653">
        <v>13</v>
      </c>
      <c r="C187" s="1654" t="s">
        <v>3178</v>
      </c>
      <c r="D187" s="1529" t="s">
        <v>3179</v>
      </c>
      <c r="E187" s="1655" t="s">
        <v>2975</v>
      </c>
      <c r="F187" s="1600">
        <v>1</v>
      </c>
      <c r="G187" s="1600">
        <v>11647650</v>
      </c>
      <c r="H187" s="1600">
        <f t="shared" si="14"/>
        <v>11647650</v>
      </c>
      <c r="I187" s="1602">
        <v>1</v>
      </c>
      <c r="J187" s="1603">
        <v>12103875</v>
      </c>
      <c r="K187" s="1560">
        <f t="shared" si="12"/>
        <v>12103875</v>
      </c>
      <c r="L187" s="1560">
        <f t="shared" si="13"/>
        <v>456225</v>
      </c>
      <c r="M187" s="1654" t="s">
        <v>3180</v>
      </c>
      <c r="N187" s="1654" t="s">
        <v>2977</v>
      </c>
    </row>
    <row r="188" spans="1:14">
      <c r="A188" s="1488">
        <v>141</v>
      </c>
      <c r="B188" s="1653">
        <v>14</v>
      </c>
      <c r="C188" s="1654" t="s">
        <v>3181</v>
      </c>
      <c r="D188" s="1529" t="s">
        <v>3182</v>
      </c>
      <c r="E188" s="1655" t="s">
        <v>2975</v>
      </c>
      <c r="F188" s="1600">
        <v>20</v>
      </c>
      <c r="G188" s="1600">
        <v>7105350</v>
      </c>
      <c r="H188" s="1600">
        <f t="shared" si="14"/>
        <v>142107000</v>
      </c>
      <c r="I188" s="1602">
        <v>20</v>
      </c>
      <c r="J188" s="1603">
        <v>7383642</v>
      </c>
      <c r="K188" s="1560">
        <f t="shared" si="12"/>
        <v>147672840</v>
      </c>
      <c r="L188" s="1560">
        <f t="shared" si="13"/>
        <v>278292</v>
      </c>
      <c r="M188" s="1654" t="s">
        <v>3154</v>
      </c>
      <c r="N188" s="1654" t="s">
        <v>2977</v>
      </c>
    </row>
    <row r="189" spans="1:14">
      <c r="A189" s="1488">
        <v>142</v>
      </c>
      <c r="B189" s="1653">
        <v>15</v>
      </c>
      <c r="C189" s="1654" t="s">
        <v>3183</v>
      </c>
      <c r="D189" s="1529" t="s">
        <v>3184</v>
      </c>
      <c r="E189" s="1655" t="s">
        <v>2975</v>
      </c>
      <c r="F189" s="1600">
        <v>70</v>
      </c>
      <c r="G189" s="1600">
        <v>8160600</v>
      </c>
      <c r="H189" s="1600">
        <f t="shared" si="14"/>
        <v>571242000</v>
      </c>
      <c r="I189" s="1602">
        <v>70</v>
      </c>
      <c r="J189" s="1603">
        <v>8481060</v>
      </c>
      <c r="K189" s="1560">
        <f t="shared" si="12"/>
        <v>593674200</v>
      </c>
      <c r="L189" s="1560">
        <f t="shared" si="13"/>
        <v>320460</v>
      </c>
      <c r="M189" s="1654" t="s">
        <v>3154</v>
      </c>
      <c r="N189" s="1654" t="s">
        <v>2977</v>
      </c>
    </row>
    <row r="190" spans="1:14">
      <c r="A190" s="1488">
        <v>143</v>
      </c>
      <c r="B190" s="1653">
        <v>16</v>
      </c>
      <c r="C190" s="1654" t="s">
        <v>3185</v>
      </c>
      <c r="D190" s="1529" t="s">
        <v>3186</v>
      </c>
      <c r="E190" s="1655" t="s">
        <v>2975</v>
      </c>
      <c r="F190" s="1600">
        <v>6</v>
      </c>
      <c r="G190" s="1600">
        <v>4929750</v>
      </c>
      <c r="H190" s="1600">
        <f t="shared" si="14"/>
        <v>29578500</v>
      </c>
      <c r="I190" s="1602">
        <v>6</v>
      </c>
      <c r="J190" s="1603">
        <v>5123139</v>
      </c>
      <c r="K190" s="1560">
        <f t="shared" si="12"/>
        <v>30738834</v>
      </c>
      <c r="L190" s="1560">
        <f t="shared" si="13"/>
        <v>193389</v>
      </c>
      <c r="M190" s="1654" t="s">
        <v>3187</v>
      </c>
      <c r="N190" s="1654" t="s">
        <v>2977</v>
      </c>
    </row>
    <row r="191" spans="1:14" ht="18">
      <c r="A191" s="1488">
        <v>144</v>
      </c>
      <c r="B191" s="1653">
        <v>17</v>
      </c>
      <c r="C191" s="1654" t="s">
        <v>3188</v>
      </c>
      <c r="D191" s="1529" t="s">
        <v>3189</v>
      </c>
      <c r="E191" s="1655" t="s">
        <v>2975</v>
      </c>
      <c r="F191" s="1600">
        <v>30</v>
      </c>
      <c r="G191" s="1600">
        <v>12627300</v>
      </c>
      <c r="H191" s="1600">
        <f t="shared" si="14"/>
        <v>378819000</v>
      </c>
      <c r="I191" s="1602">
        <v>30</v>
      </c>
      <c r="J191" s="1603">
        <v>13122270</v>
      </c>
      <c r="K191" s="1560">
        <f t="shared" si="12"/>
        <v>393668100</v>
      </c>
      <c r="L191" s="1560">
        <f t="shared" si="13"/>
        <v>494970</v>
      </c>
      <c r="M191" s="1654" t="s">
        <v>3154</v>
      </c>
      <c r="N191" s="1654" t="s">
        <v>2977</v>
      </c>
    </row>
    <row r="192" spans="1:14" ht="18">
      <c r="A192" s="1488">
        <v>145</v>
      </c>
      <c r="B192" s="1653">
        <v>18</v>
      </c>
      <c r="C192" s="1654" t="s">
        <v>3190</v>
      </c>
      <c r="D192" s="1529" t="s">
        <v>3191</v>
      </c>
      <c r="E192" s="1655" t="s">
        <v>2975</v>
      </c>
      <c r="F192" s="1600">
        <v>70</v>
      </c>
      <c r="G192" s="1600">
        <v>9295650</v>
      </c>
      <c r="H192" s="1600">
        <f t="shared" si="14"/>
        <v>650695500</v>
      </c>
      <c r="I192" s="1602">
        <v>70</v>
      </c>
      <c r="J192" s="1603">
        <v>9659727</v>
      </c>
      <c r="K192" s="1560">
        <f t="shared" si="12"/>
        <v>676180890</v>
      </c>
      <c r="L192" s="1560">
        <f t="shared" si="13"/>
        <v>364077</v>
      </c>
      <c r="M192" s="1654" t="s">
        <v>3154</v>
      </c>
      <c r="N192" s="1654" t="s">
        <v>2977</v>
      </c>
    </row>
    <row r="193" spans="1:14">
      <c r="A193" s="1488">
        <v>146</v>
      </c>
      <c r="B193" s="1653">
        <v>19</v>
      </c>
      <c r="C193" s="1654" t="s">
        <v>3192</v>
      </c>
      <c r="D193" s="1529" t="s">
        <v>3193</v>
      </c>
      <c r="E193" s="1655" t="s">
        <v>3009</v>
      </c>
      <c r="F193" s="1600">
        <v>20</v>
      </c>
      <c r="G193" s="1600">
        <v>550200</v>
      </c>
      <c r="H193" s="1600">
        <f t="shared" si="14"/>
        <v>11004000</v>
      </c>
      <c r="I193" s="1602">
        <v>20</v>
      </c>
      <c r="J193" s="1603">
        <v>572082</v>
      </c>
      <c r="K193" s="1560">
        <f t="shared" si="12"/>
        <v>11441640</v>
      </c>
      <c r="L193" s="1560">
        <f t="shared" si="13"/>
        <v>21882</v>
      </c>
      <c r="M193" s="1654" t="s">
        <v>3180</v>
      </c>
      <c r="N193" s="1654" t="s">
        <v>2977</v>
      </c>
    </row>
    <row r="194" spans="1:14">
      <c r="A194" s="1488">
        <v>147</v>
      </c>
      <c r="B194" s="1653">
        <v>20</v>
      </c>
      <c r="C194" s="1654" t="s">
        <v>3194</v>
      </c>
      <c r="D194" s="1529" t="s">
        <v>3195</v>
      </c>
      <c r="E194" s="1655" t="s">
        <v>3009</v>
      </c>
      <c r="F194" s="1600">
        <v>70</v>
      </c>
      <c r="G194" s="1600">
        <v>425250</v>
      </c>
      <c r="H194" s="1600">
        <f t="shared" si="14"/>
        <v>29767500</v>
      </c>
      <c r="I194" s="1602">
        <v>70</v>
      </c>
      <c r="J194" s="1603">
        <v>441861</v>
      </c>
      <c r="K194" s="1560">
        <f t="shared" si="12"/>
        <v>30930270</v>
      </c>
      <c r="L194" s="1560">
        <f t="shared" si="13"/>
        <v>16611</v>
      </c>
      <c r="M194" s="1654" t="s">
        <v>3180</v>
      </c>
      <c r="N194" s="1654" t="s">
        <v>2977</v>
      </c>
    </row>
    <row r="195" spans="1:14">
      <c r="A195" s="1488">
        <v>148</v>
      </c>
      <c r="B195" s="1653">
        <v>21</v>
      </c>
      <c r="C195" s="1654" t="s">
        <v>3196</v>
      </c>
      <c r="D195" s="1529" t="s">
        <v>3195</v>
      </c>
      <c r="E195" s="1655" t="s">
        <v>3009</v>
      </c>
      <c r="F195" s="1600">
        <v>50</v>
      </c>
      <c r="G195" s="1600">
        <v>425250</v>
      </c>
      <c r="H195" s="1600">
        <f t="shared" si="14"/>
        <v>21262500</v>
      </c>
      <c r="I195" s="1602">
        <v>50</v>
      </c>
      <c r="J195" s="1603">
        <v>441861</v>
      </c>
      <c r="K195" s="1560">
        <f t="shared" si="12"/>
        <v>22093050</v>
      </c>
      <c r="L195" s="1560">
        <f t="shared" si="13"/>
        <v>16611</v>
      </c>
      <c r="M195" s="1654" t="s">
        <v>3180</v>
      </c>
      <c r="N195" s="1654" t="s">
        <v>2977</v>
      </c>
    </row>
    <row r="196" spans="1:14">
      <c r="A196" s="1488">
        <v>149</v>
      </c>
      <c r="B196" s="1653">
        <v>22</v>
      </c>
      <c r="C196" s="1654" t="s">
        <v>3197</v>
      </c>
      <c r="D196" s="1529" t="s">
        <v>3198</v>
      </c>
      <c r="E196" s="1655" t="s">
        <v>3009</v>
      </c>
      <c r="F196" s="1600">
        <v>300</v>
      </c>
      <c r="G196" s="1600">
        <v>594300</v>
      </c>
      <c r="H196" s="1600">
        <f t="shared" si="14"/>
        <v>178290000</v>
      </c>
      <c r="I196" s="1602">
        <v>300</v>
      </c>
      <c r="J196" s="1603">
        <v>617715</v>
      </c>
      <c r="K196" s="1560">
        <f t="shared" si="12"/>
        <v>185314500</v>
      </c>
      <c r="L196" s="1560">
        <f t="shared" si="13"/>
        <v>23415</v>
      </c>
      <c r="M196" s="1654" t="s">
        <v>3180</v>
      </c>
      <c r="N196" s="1654" t="s">
        <v>2977</v>
      </c>
    </row>
    <row r="197" spans="1:14">
      <c r="A197" s="1488">
        <v>150</v>
      </c>
      <c r="B197" s="1653">
        <v>23</v>
      </c>
      <c r="C197" s="1654" t="s">
        <v>3199</v>
      </c>
      <c r="D197" s="1529" t="s">
        <v>3198</v>
      </c>
      <c r="E197" s="1655" t="s">
        <v>3009</v>
      </c>
      <c r="F197" s="1600">
        <v>300</v>
      </c>
      <c r="G197" s="1600">
        <v>636300</v>
      </c>
      <c r="H197" s="1600">
        <f t="shared" si="14"/>
        <v>190890000</v>
      </c>
      <c r="I197" s="1602">
        <v>300</v>
      </c>
      <c r="J197" s="1603">
        <v>661122</v>
      </c>
      <c r="K197" s="1560">
        <f t="shared" si="12"/>
        <v>198336600</v>
      </c>
      <c r="L197" s="1560">
        <f t="shared" si="13"/>
        <v>24822</v>
      </c>
      <c r="M197" s="1654" t="s">
        <v>3180</v>
      </c>
      <c r="N197" s="1654" t="s">
        <v>2977</v>
      </c>
    </row>
    <row r="198" spans="1:14">
      <c r="A198" s="1488">
        <v>151</v>
      </c>
      <c r="B198" s="1653">
        <v>24</v>
      </c>
      <c r="C198" s="1654" t="s">
        <v>3200</v>
      </c>
      <c r="D198" s="1529" t="s">
        <v>3201</v>
      </c>
      <c r="E198" s="1655" t="s">
        <v>2975</v>
      </c>
      <c r="F198" s="1600">
        <v>100</v>
      </c>
      <c r="G198" s="1600">
        <v>2185050</v>
      </c>
      <c r="H198" s="1600">
        <f t="shared" si="14"/>
        <v>218505000</v>
      </c>
      <c r="I198" s="1602">
        <v>100</v>
      </c>
      <c r="J198" s="1603">
        <v>2270520</v>
      </c>
      <c r="K198" s="1560">
        <f t="shared" si="12"/>
        <v>227052000</v>
      </c>
      <c r="L198" s="1560">
        <f t="shared" si="13"/>
        <v>85470</v>
      </c>
      <c r="M198" s="1654" t="s">
        <v>3154</v>
      </c>
      <c r="N198" s="1654" t="s">
        <v>2977</v>
      </c>
    </row>
    <row r="199" spans="1:14" ht="18">
      <c r="A199" s="1488">
        <v>152</v>
      </c>
      <c r="B199" s="1653">
        <v>25</v>
      </c>
      <c r="C199" s="1654" t="s">
        <v>3202</v>
      </c>
      <c r="D199" s="1529" t="s">
        <v>3203</v>
      </c>
      <c r="E199" s="1655" t="s">
        <v>2975</v>
      </c>
      <c r="F199" s="1600">
        <v>10</v>
      </c>
      <c r="G199" s="1600">
        <v>17098200</v>
      </c>
      <c r="H199" s="1600">
        <f t="shared" si="14"/>
        <v>170982000</v>
      </c>
      <c r="I199" s="1602">
        <v>10</v>
      </c>
      <c r="J199" s="1603">
        <v>17769045</v>
      </c>
      <c r="K199" s="1560">
        <f t="shared" si="12"/>
        <v>177690450</v>
      </c>
      <c r="L199" s="1560">
        <f t="shared" si="13"/>
        <v>670845</v>
      </c>
      <c r="M199" s="1654" t="s">
        <v>3204</v>
      </c>
      <c r="N199" s="1654" t="s">
        <v>2977</v>
      </c>
    </row>
    <row r="200" spans="1:14" ht="18">
      <c r="A200" s="1488">
        <v>153</v>
      </c>
      <c r="B200" s="1653">
        <v>26</v>
      </c>
      <c r="C200" s="1654" t="s">
        <v>3205</v>
      </c>
      <c r="D200" s="1529" t="s">
        <v>3206</v>
      </c>
      <c r="E200" s="1655" t="s">
        <v>2975</v>
      </c>
      <c r="F200" s="1600">
        <v>70</v>
      </c>
      <c r="G200" s="1600">
        <v>14903700</v>
      </c>
      <c r="H200" s="1600">
        <f t="shared" si="14"/>
        <v>1043259000</v>
      </c>
      <c r="I200" s="1602">
        <v>70</v>
      </c>
      <c r="J200" s="1603">
        <v>15488508</v>
      </c>
      <c r="K200" s="1560">
        <f t="shared" si="12"/>
        <v>1084195560</v>
      </c>
      <c r="L200" s="1560">
        <f t="shared" si="13"/>
        <v>584808</v>
      </c>
      <c r="M200" s="1654" t="s">
        <v>3204</v>
      </c>
      <c r="N200" s="1654" t="s">
        <v>2977</v>
      </c>
    </row>
    <row r="201" spans="1:14" ht="18">
      <c r="A201" s="1488">
        <v>154</v>
      </c>
      <c r="B201" s="1653">
        <v>27</v>
      </c>
      <c r="C201" s="1654" t="s">
        <v>3207</v>
      </c>
      <c r="D201" s="1529" t="s">
        <v>3208</v>
      </c>
      <c r="E201" s="1655" t="s">
        <v>2975</v>
      </c>
      <c r="F201" s="1600">
        <v>5</v>
      </c>
      <c r="G201" s="1600">
        <v>19939500</v>
      </c>
      <c r="H201" s="1600">
        <f t="shared" si="14"/>
        <v>99697500</v>
      </c>
      <c r="I201" s="1602">
        <v>5</v>
      </c>
      <c r="J201" s="1603">
        <v>20721834</v>
      </c>
      <c r="K201" s="1560">
        <f t="shared" si="12"/>
        <v>103609170</v>
      </c>
      <c r="L201" s="1560">
        <f t="shared" si="13"/>
        <v>782334</v>
      </c>
      <c r="M201" s="1654" t="s">
        <v>3204</v>
      </c>
      <c r="N201" s="1654" t="s">
        <v>2977</v>
      </c>
    </row>
    <row r="202" spans="1:14" ht="18">
      <c r="A202" s="1488">
        <v>155</v>
      </c>
      <c r="B202" s="1653">
        <v>28</v>
      </c>
      <c r="C202" s="1654" t="s">
        <v>3209</v>
      </c>
      <c r="D202" s="1529" t="s">
        <v>3208</v>
      </c>
      <c r="E202" s="1655" t="s">
        <v>2975</v>
      </c>
      <c r="F202" s="1600">
        <v>5</v>
      </c>
      <c r="G202" s="1600">
        <v>12575850</v>
      </c>
      <c r="H202" s="1600">
        <f t="shared" si="14"/>
        <v>62879250</v>
      </c>
      <c r="I202" s="1602">
        <v>5</v>
      </c>
      <c r="J202" s="1603">
        <v>13068846</v>
      </c>
      <c r="K202" s="1560">
        <f t="shared" si="12"/>
        <v>65344230</v>
      </c>
      <c r="L202" s="1560">
        <f t="shared" si="13"/>
        <v>492996</v>
      </c>
      <c r="M202" s="1654" t="s">
        <v>3204</v>
      </c>
      <c r="N202" s="1654" t="s">
        <v>2977</v>
      </c>
    </row>
    <row r="203" spans="1:14">
      <c r="A203" s="1488">
        <v>156</v>
      </c>
      <c r="B203" s="1653">
        <v>29</v>
      </c>
      <c r="C203" s="1654" t="s">
        <v>3210</v>
      </c>
      <c r="D203" s="1529" t="s">
        <v>3211</v>
      </c>
      <c r="E203" s="1655" t="s">
        <v>2975</v>
      </c>
      <c r="F203" s="1600">
        <v>10</v>
      </c>
      <c r="G203" s="1600">
        <v>7645050</v>
      </c>
      <c r="H203" s="1600">
        <f t="shared" si="14"/>
        <v>76450500</v>
      </c>
      <c r="I203" s="1602">
        <v>10</v>
      </c>
      <c r="J203" s="1603">
        <v>7944594</v>
      </c>
      <c r="K203" s="1560">
        <f t="shared" si="12"/>
        <v>79445940</v>
      </c>
      <c r="L203" s="1560">
        <f t="shared" si="13"/>
        <v>299544</v>
      </c>
      <c r="M203" s="1654" t="s">
        <v>3154</v>
      </c>
      <c r="N203" s="1654" t="s">
        <v>2977</v>
      </c>
    </row>
    <row r="204" spans="1:14" ht="18">
      <c r="A204" s="1488">
        <v>157</v>
      </c>
      <c r="B204" s="1653">
        <v>30</v>
      </c>
      <c r="C204" s="1654" t="s">
        <v>3212</v>
      </c>
      <c r="D204" s="1529" t="s">
        <v>3213</v>
      </c>
      <c r="E204" s="1655" t="s">
        <v>2975</v>
      </c>
      <c r="F204" s="1600">
        <v>12</v>
      </c>
      <c r="G204" s="1600">
        <v>71130150</v>
      </c>
      <c r="H204" s="1600">
        <f t="shared" si="14"/>
        <v>853561800</v>
      </c>
      <c r="I204" s="1602">
        <v>12</v>
      </c>
      <c r="J204" s="1603">
        <v>73919895</v>
      </c>
      <c r="K204" s="1560">
        <f t="shared" si="12"/>
        <v>887038740</v>
      </c>
      <c r="L204" s="1560">
        <f t="shared" si="13"/>
        <v>2789745</v>
      </c>
      <c r="M204" s="1654" t="s">
        <v>3204</v>
      </c>
      <c r="N204" s="1654" t="s">
        <v>2977</v>
      </c>
    </row>
    <row r="205" spans="1:14">
      <c r="A205" s="1488">
        <v>158</v>
      </c>
      <c r="B205" s="1653">
        <v>31</v>
      </c>
      <c r="C205" s="1654" t="s">
        <v>3214</v>
      </c>
      <c r="D205" s="1529" t="s">
        <v>3215</v>
      </c>
      <c r="E205" s="1655" t="s">
        <v>2975</v>
      </c>
      <c r="F205" s="1600">
        <v>30</v>
      </c>
      <c r="G205" s="1600">
        <v>6054300</v>
      </c>
      <c r="H205" s="1600">
        <f t="shared" si="14"/>
        <v>181629000</v>
      </c>
      <c r="I205" s="1602">
        <v>30</v>
      </c>
      <c r="J205" s="1603">
        <v>6291789</v>
      </c>
      <c r="K205" s="1560">
        <f t="shared" si="12"/>
        <v>188753670</v>
      </c>
      <c r="L205" s="1560">
        <f t="shared" si="13"/>
        <v>237489</v>
      </c>
      <c r="M205" s="1654" t="s">
        <v>3154</v>
      </c>
      <c r="N205" s="1654" t="s">
        <v>2977</v>
      </c>
    </row>
    <row r="206" spans="1:14">
      <c r="A206" s="1488">
        <v>159</v>
      </c>
      <c r="B206" s="1653">
        <v>32</v>
      </c>
      <c r="C206" s="1654" t="s">
        <v>3216</v>
      </c>
      <c r="D206" s="1529" t="s">
        <v>3217</v>
      </c>
      <c r="E206" s="1655" t="s">
        <v>2975</v>
      </c>
      <c r="F206" s="1600">
        <v>120</v>
      </c>
      <c r="G206" s="1600">
        <v>6013350</v>
      </c>
      <c r="H206" s="1600">
        <f t="shared" si="14"/>
        <v>721602000</v>
      </c>
      <c r="I206" s="1602">
        <v>120</v>
      </c>
      <c r="J206" s="1603">
        <v>6249495</v>
      </c>
      <c r="K206" s="1560">
        <f t="shared" si="12"/>
        <v>749939400</v>
      </c>
      <c r="L206" s="1560">
        <f t="shared" si="13"/>
        <v>236145</v>
      </c>
      <c r="M206" s="1654" t="s">
        <v>3154</v>
      </c>
      <c r="N206" s="1654" t="s">
        <v>2977</v>
      </c>
    </row>
    <row r="207" spans="1:14" ht="36">
      <c r="A207" s="1488">
        <v>160</v>
      </c>
      <c r="B207" s="1653">
        <v>33</v>
      </c>
      <c r="C207" s="1654" t="s">
        <v>3218</v>
      </c>
      <c r="D207" s="1529" t="s">
        <v>3219</v>
      </c>
      <c r="E207" s="1655" t="s">
        <v>2975</v>
      </c>
      <c r="F207" s="1600">
        <v>10</v>
      </c>
      <c r="G207" s="1600">
        <v>33732300</v>
      </c>
      <c r="H207" s="1600">
        <f t="shared" si="14"/>
        <v>337323000</v>
      </c>
      <c r="I207" s="1602">
        <v>10</v>
      </c>
      <c r="J207" s="1603">
        <v>35055048</v>
      </c>
      <c r="K207" s="1560">
        <f t="shared" si="12"/>
        <v>350550480</v>
      </c>
      <c r="L207" s="1560">
        <f t="shared" si="13"/>
        <v>1322748</v>
      </c>
      <c r="M207" s="1654" t="s">
        <v>3220</v>
      </c>
      <c r="N207" s="1654" t="s">
        <v>2977</v>
      </c>
    </row>
    <row r="208" spans="1:14">
      <c r="A208" s="1488">
        <v>161</v>
      </c>
      <c r="B208" s="1653">
        <v>34</v>
      </c>
      <c r="C208" s="1654" t="s">
        <v>3221</v>
      </c>
      <c r="D208" s="1529" t="s">
        <v>3222</v>
      </c>
      <c r="E208" s="1655" t="s">
        <v>2975</v>
      </c>
      <c r="F208" s="1600">
        <v>3</v>
      </c>
      <c r="G208" s="1600">
        <v>6307350</v>
      </c>
      <c r="H208" s="1600">
        <f t="shared" si="14"/>
        <v>18922050</v>
      </c>
      <c r="I208" s="1602">
        <v>3</v>
      </c>
      <c r="J208" s="1603">
        <v>6554457</v>
      </c>
      <c r="K208" s="1560">
        <f t="shared" si="12"/>
        <v>19663371</v>
      </c>
      <c r="L208" s="1560">
        <f t="shared" si="13"/>
        <v>247107</v>
      </c>
      <c r="M208" s="1654" t="s">
        <v>3180</v>
      </c>
      <c r="N208" s="1654" t="s">
        <v>2977</v>
      </c>
    </row>
    <row r="209" spans="1:14" ht="18">
      <c r="A209" s="1488">
        <v>162</v>
      </c>
      <c r="B209" s="1653">
        <v>35</v>
      </c>
      <c r="C209" s="1654" t="s">
        <v>3223</v>
      </c>
      <c r="D209" s="1529" t="s">
        <v>3224</v>
      </c>
      <c r="E209" s="1655" t="s">
        <v>2975</v>
      </c>
      <c r="F209" s="1600">
        <v>8</v>
      </c>
      <c r="G209" s="1600">
        <v>10826550</v>
      </c>
      <c r="H209" s="1600">
        <f t="shared" si="14"/>
        <v>86612400</v>
      </c>
      <c r="I209" s="1602">
        <v>8</v>
      </c>
      <c r="J209" s="1603">
        <v>11741037</v>
      </c>
      <c r="K209" s="1560">
        <f t="shared" si="12"/>
        <v>93928296</v>
      </c>
      <c r="L209" s="1560">
        <f t="shared" si="13"/>
        <v>914487</v>
      </c>
      <c r="M209" s="1654" t="s">
        <v>3225</v>
      </c>
      <c r="N209" s="1654" t="s">
        <v>2977</v>
      </c>
    </row>
    <row r="210" spans="1:14">
      <c r="A210" s="1488">
        <v>163</v>
      </c>
      <c r="B210" s="1653">
        <v>36</v>
      </c>
      <c r="C210" s="1654" t="s">
        <v>3226</v>
      </c>
      <c r="D210" s="1529" t="s">
        <v>3227</v>
      </c>
      <c r="E210" s="1655" t="s">
        <v>2975</v>
      </c>
      <c r="F210" s="1600">
        <v>20</v>
      </c>
      <c r="G210" s="1600">
        <v>5772900</v>
      </c>
      <c r="H210" s="1600">
        <f t="shared" si="14"/>
        <v>115458000</v>
      </c>
      <c r="I210" s="1602">
        <v>20</v>
      </c>
      <c r="J210" s="1603">
        <v>5999070</v>
      </c>
      <c r="K210" s="1560">
        <f t="shared" si="12"/>
        <v>119981400</v>
      </c>
      <c r="L210" s="1560">
        <f t="shared" si="13"/>
        <v>226170</v>
      </c>
      <c r="M210" s="1654" t="s">
        <v>3228</v>
      </c>
      <c r="N210" s="1654" t="s">
        <v>2977</v>
      </c>
    </row>
    <row r="211" spans="1:14" ht="18">
      <c r="A211" s="1488">
        <v>164</v>
      </c>
      <c r="B211" s="1653">
        <v>37</v>
      </c>
      <c r="C211" s="1654" t="s">
        <v>3229</v>
      </c>
      <c r="D211" s="1529" t="s">
        <v>3230</v>
      </c>
      <c r="E211" s="1655" t="s">
        <v>2975</v>
      </c>
      <c r="F211" s="1600">
        <v>100</v>
      </c>
      <c r="G211" s="1600">
        <v>22108800</v>
      </c>
      <c r="H211" s="1600">
        <f t="shared" si="14"/>
        <v>2210880000</v>
      </c>
      <c r="I211" s="1602">
        <v>100</v>
      </c>
      <c r="J211" s="1603">
        <v>22975659</v>
      </c>
      <c r="K211" s="1560">
        <f t="shared" si="12"/>
        <v>2297565900</v>
      </c>
      <c r="L211" s="1560">
        <f t="shared" si="13"/>
        <v>866859</v>
      </c>
      <c r="M211" s="1654" t="s">
        <v>3204</v>
      </c>
      <c r="N211" s="1654" t="s">
        <v>2977</v>
      </c>
    </row>
    <row r="212" spans="1:14" ht="18">
      <c r="A212" s="1488">
        <v>165</v>
      </c>
      <c r="B212" s="1653">
        <v>38</v>
      </c>
      <c r="C212" s="1654" t="s">
        <v>3231</v>
      </c>
      <c r="D212" s="1529" t="s">
        <v>3232</v>
      </c>
      <c r="E212" s="1655" t="s">
        <v>2975</v>
      </c>
      <c r="F212" s="1600">
        <v>10</v>
      </c>
      <c r="G212" s="1600">
        <v>5961900</v>
      </c>
      <c r="H212" s="1600">
        <f t="shared" si="14"/>
        <v>59619000</v>
      </c>
      <c r="I212" s="1602">
        <v>10</v>
      </c>
      <c r="J212" s="1603">
        <v>6196071</v>
      </c>
      <c r="K212" s="1560">
        <f t="shared" si="12"/>
        <v>61960710</v>
      </c>
      <c r="L212" s="1560">
        <f t="shared" si="13"/>
        <v>234171</v>
      </c>
      <c r="M212" s="1654" t="s">
        <v>3204</v>
      </c>
      <c r="N212" s="1654" t="s">
        <v>2977</v>
      </c>
    </row>
    <row r="213" spans="1:14" ht="18">
      <c r="A213" s="1488">
        <v>166</v>
      </c>
      <c r="B213" s="1653">
        <v>39</v>
      </c>
      <c r="C213" s="1654" t="s">
        <v>3233</v>
      </c>
      <c r="D213" s="1529" t="s">
        <v>3234</v>
      </c>
      <c r="E213" s="1655" t="s">
        <v>2975</v>
      </c>
      <c r="F213" s="1600">
        <v>10</v>
      </c>
      <c r="G213" s="1600">
        <v>4909989</v>
      </c>
      <c r="H213" s="1600">
        <f t="shared" si="14"/>
        <v>49099890</v>
      </c>
      <c r="I213" s="1602">
        <v>10</v>
      </c>
      <c r="J213" s="1603">
        <v>5020000</v>
      </c>
      <c r="K213" s="1560">
        <f t="shared" si="12"/>
        <v>50200000</v>
      </c>
      <c r="L213" s="1560">
        <f t="shared" si="13"/>
        <v>110011</v>
      </c>
      <c r="M213" s="1654" t="s">
        <v>3235</v>
      </c>
      <c r="N213" s="1654" t="s">
        <v>2977</v>
      </c>
    </row>
    <row r="214" spans="1:14">
      <c r="A214" s="1488">
        <v>167</v>
      </c>
      <c r="B214" s="1653">
        <v>40</v>
      </c>
      <c r="C214" s="1654" t="s">
        <v>3236</v>
      </c>
      <c r="D214" s="1529" t="s">
        <v>3237</v>
      </c>
      <c r="E214" s="1655" t="s">
        <v>2975</v>
      </c>
      <c r="F214" s="1600">
        <v>10</v>
      </c>
      <c r="G214" s="1600">
        <v>30309300</v>
      </c>
      <c r="H214" s="1600">
        <f t="shared" si="14"/>
        <v>303093000</v>
      </c>
      <c r="I214" s="1602">
        <v>10</v>
      </c>
      <c r="J214" s="1603">
        <v>31497900</v>
      </c>
      <c r="K214" s="1560">
        <f t="shared" si="12"/>
        <v>314979000</v>
      </c>
      <c r="L214" s="1560">
        <f t="shared" si="13"/>
        <v>1188600</v>
      </c>
      <c r="M214" s="1654" t="s">
        <v>3154</v>
      </c>
      <c r="N214" s="1654" t="s">
        <v>2977</v>
      </c>
    </row>
    <row r="215" spans="1:14">
      <c r="A215" s="1488">
        <v>168</v>
      </c>
      <c r="B215" s="1653">
        <v>41</v>
      </c>
      <c r="C215" s="1654" t="s">
        <v>3238</v>
      </c>
      <c r="D215" s="1529" t="s">
        <v>3239</v>
      </c>
      <c r="E215" s="1655" t="s">
        <v>2975</v>
      </c>
      <c r="F215" s="1600">
        <v>10</v>
      </c>
      <c r="G215" s="1600">
        <v>30309300</v>
      </c>
      <c r="H215" s="1600">
        <f t="shared" si="14"/>
        <v>303093000</v>
      </c>
      <c r="I215" s="1602">
        <v>10</v>
      </c>
      <c r="J215" s="1603">
        <v>31497900</v>
      </c>
      <c r="K215" s="1560">
        <f t="shared" si="12"/>
        <v>314979000</v>
      </c>
      <c r="L215" s="1560">
        <f t="shared" si="13"/>
        <v>1188600</v>
      </c>
      <c r="M215" s="1654" t="s">
        <v>3154</v>
      </c>
      <c r="N215" s="1654" t="s">
        <v>2977</v>
      </c>
    </row>
    <row r="216" spans="1:14">
      <c r="A216" s="1488">
        <v>169</v>
      </c>
      <c r="B216" s="1653">
        <v>42</v>
      </c>
      <c r="C216" s="1654" t="s">
        <v>3240</v>
      </c>
      <c r="D216" s="1529" t="s">
        <v>3237</v>
      </c>
      <c r="E216" s="1655" t="s">
        <v>2975</v>
      </c>
      <c r="F216" s="1600">
        <v>10</v>
      </c>
      <c r="G216" s="1600">
        <v>30309300</v>
      </c>
      <c r="H216" s="1600">
        <f t="shared" si="14"/>
        <v>303093000</v>
      </c>
      <c r="I216" s="1602">
        <v>10</v>
      </c>
      <c r="J216" s="1603">
        <v>31497900</v>
      </c>
      <c r="K216" s="1560">
        <f t="shared" si="12"/>
        <v>314979000</v>
      </c>
      <c r="L216" s="1560">
        <f t="shared" si="13"/>
        <v>1188600</v>
      </c>
      <c r="M216" s="1654" t="s">
        <v>3154</v>
      </c>
      <c r="N216" s="1654" t="s">
        <v>2977</v>
      </c>
    </row>
    <row r="217" spans="1:14">
      <c r="A217" s="1488">
        <v>170</v>
      </c>
      <c r="B217" s="1653">
        <v>43</v>
      </c>
      <c r="C217" s="1654" t="s">
        <v>3241</v>
      </c>
      <c r="D217" s="1529" t="s">
        <v>3242</v>
      </c>
      <c r="E217" s="1655" t="s">
        <v>2975</v>
      </c>
      <c r="F217" s="1600">
        <v>10</v>
      </c>
      <c r="G217" s="1600">
        <v>2458050</v>
      </c>
      <c r="H217" s="1600">
        <f t="shared" si="14"/>
        <v>24580500</v>
      </c>
      <c r="I217" s="1602">
        <v>10</v>
      </c>
      <c r="J217" s="1603">
        <v>2554335</v>
      </c>
      <c r="K217" s="1560">
        <f t="shared" si="12"/>
        <v>25543350</v>
      </c>
      <c r="L217" s="1560">
        <f t="shared" si="13"/>
        <v>96285</v>
      </c>
      <c r="M217" s="1654" t="s">
        <v>3154</v>
      </c>
      <c r="N217" s="1654" t="s">
        <v>2977</v>
      </c>
    </row>
    <row r="218" spans="1:14">
      <c r="A218" s="1488">
        <v>171</v>
      </c>
      <c r="B218" s="1653">
        <v>44</v>
      </c>
      <c r="C218" s="1654" t="s">
        <v>3243</v>
      </c>
      <c r="D218" s="1529" t="s">
        <v>3242</v>
      </c>
      <c r="E218" s="1655" t="s">
        <v>2975</v>
      </c>
      <c r="F218" s="1600">
        <v>22</v>
      </c>
      <c r="G218" s="1600">
        <v>3693900</v>
      </c>
      <c r="H218" s="1600">
        <f t="shared" si="14"/>
        <v>81265800</v>
      </c>
      <c r="I218" s="1602">
        <v>22</v>
      </c>
      <c r="J218" s="1603">
        <v>3838737</v>
      </c>
      <c r="K218" s="1560">
        <f t="shared" si="12"/>
        <v>84452214</v>
      </c>
      <c r="L218" s="1560">
        <f t="shared" si="13"/>
        <v>144837</v>
      </c>
      <c r="M218" s="1654" t="s">
        <v>3154</v>
      </c>
      <c r="N218" s="1654" t="s">
        <v>2977</v>
      </c>
    </row>
    <row r="219" spans="1:14">
      <c r="A219" s="1488">
        <v>172</v>
      </c>
      <c r="B219" s="1653">
        <v>45</v>
      </c>
      <c r="C219" s="1654" t="s">
        <v>3244</v>
      </c>
      <c r="D219" s="1529" t="s">
        <v>3195</v>
      </c>
      <c r="E219" s="1655" t="s">
        <v>3009</v>
      </c>
      <c r="F219" s="1600">
        <v>12</v>
      </c>
      <c r="G219" s="1600">
        <v>3650850</v>
      </c>
      <c r="H219" s="1600">
        <f t="shared" si="14"/>
        <v>43810200</v>
      </c>
      <c r="I219" s="1602">
        <v>12</v>
      </c>
      <c r="J219" s="1603">
        <v>3794217</v>
      </c>
      <c r="K219" s="1560">
        <f t="shared" si="12"/>
        <v>45530604</v>
      </c>
      <c r="L219" s="1560">
        <f t="shared" si="13"/>
        <v>143367</v>
      </c>
      <c r="M219" s="1654" t="s">
        <v>3180</v>
      </c>
      <c r="N219" s="1654" t="s">
        <v>2977</v>
      </c>
    </row>
    <row r="220" spans="1:14">
      <c r="A220" s="1488">
        <v>173</v>
      </c>
      <c r="B220" s="1653">
        <v>46</v>
      </c>
      <c r="C220" s="1654" t="s">
        <v>3245</v>
      </c>
      <c r="D220" s="1529" t="s">
        <v>3195</v>
      </c>
      <c r="E220" s="1655" t="s">
        <v>3009</v>
      </c>
      <c r="F220" s="1600">
        <v>12</v>
      </c>
      <c r="G220" s="1600">
        <v>3120600</v>
      </c>
      <c r="H220" s="1600">
        <f t="shared" si="14"/>
        <v>37447200</v>
      </c>
      <c r="I220" s="1602">
        <v>12</v>
      </c>
      <c r="J220" s="1603">
        <v>3243282</v>
      </c>
      <c r="K220" s="1560">
        <f t="shared" si="12"/>
        <v>38919384</v>
      </c>
      <c r="L220" s="1560">
        <f t="shared" si="13"/>
        <v>122682</v>
      </c>
      <c r="M220" s="1654" t="s">
        <v>3180</v>
      </c>
      <c r="N220" s="1654" t="s">
        <v>2977</v>
      </c>
    </row>
    <row r="221" spans="1:14">
      <c r="A221" s="1488">
        <v>174</v>
      </c>
      <c r="B221" s="1653">
        <v>47</v>
      </c>
      <c r="C221" s="1654" t="s">
        <v>3246</v>
      </c>
      <c r="D221" s="1529" t="s">
        <v>3195</v>
      </c>
      <c r="E221" s="1655" t="s">
        <v>3009</v>
      </c>
      <c r="F221" s="1600">
        <v>3</v>
      </c>
      <c r="G221" s="1600">
        <v>3360000</v>
      </c>
      <c r="H221" s="1600">
        <f t="shared" si="14"/>
        <v>10080000</v>
      </c>
      <c r="I221" s="1602">
        <v>3</v>
      </c>
      <c r="J221" s="1603">
        <v>3491481</v>
      </c>
      <c r="K221" s="1560">
        <f t="shared" si="12"/>
        <v>10474443</v>
      </c>
      <c r="L221" s="1560">
        <f t="shared" si="13"/>
        <v>131481</v>
      </c>
      <c r="M221" s="1654" t="s">
        <v>3180</v>
      </c>
      <c r="N221" s="1654" t="s">
        <v>2977</v>
      </c>
    </row>
    <row r="222" spans="1:14" ht="18">
      <c r="A222" s="1488">
        <v>175</v>
      </c>
      <c r="B222" s="1653">
        <v>48</v>
      </c>
      <c r="C222" s="1654" t="s">
        <v>3247</v>
      </c>
      <c r="D222" s="1529" t="s">
        <v>3248</v>
      </c>
      <c r="E222" s="1655" t="s">
        <v>2975</v>
      </c>
      <c r="F222" s="1600">
        <v>5</v>
      </c>
      <c r="G222" s="1600">
        <v>7659750</v>
      </c>
      <c r="H222" s="1600">
        <f t="shared" si="14"/>
        <v>38298750</v>
      </c>
      <c r="I222" s="1602">
        <v>5</v>
      </c>
      <c r="J222" s="1603">
        <v>7960176</v>
      </c>
      <c r="K222" s="1560">
        <f t="shared" si="12"/>
        <v>39800880</v>
      </c>
      <c r="L222" s="1560">
        <f t="shared" si="13"/>
        <v>300426</v>
      </c>
      <c r="M222" s="1654" t="s">
        <v>3187</v>
      </c>
      <c r="N222" s="1654" t="s">
        <v>2977</v>
      </c>
    </row>
    <row r="223" spans="1:14">
      <c r="A223" s="1488">
        <v>176</v>
      </c>
      <c r="B223" s="1653">
        <v>49</v>
      </c>
      <c r="C223" s="1654" t="s">
        <v>3249</v>
      </c>
      <c r="D223" s="1529" t="s">
        <v>3250</v>
      </c>
      <c r="E223" s="1655" t="s">
        <v>2975</v>
      </c>
      <c r="F223" s="1600">
        <v>12</v>
      </c>
      <c r="G223" s="1600">
        <v>6262200</v>
      </c>
      <c r="H223" s="1600">
        <f t="shared" si="14"/>
        <v>75146400</v>
      </c>
      <c r="I223" s="1602">
        <v>12</v>
      </c>
      <c r="J223" s="1603">
        <v>6507711</v>
      </c>
      <c r="K223" s="1560">
        <f t="shared" si="12"/>
        <v>78092532</v>
      </c>
      <c r="L223" s="1560">
        <f t="shared" si="13"/>
        <v>245511</v>
      </c>
      <c r="M223" s="1654" t="s">
        <v>3154</v>
      </c>
      <c r="N223" s="1654" t="s">
        <v>2977</v>
      </c>
    </row>
    <row r="224" spans="1:14" ht="18">
      <c r="A224" s="1488">
        <v>177</v>
      </c>
      <c r="B224" s="1653">
        <v>50</v>
      </c>
      <c r="C224" s="1654" t="s">
        <v>3251</v>
      </c>
      <c r="D224" s="1529" t="s">
        <v>3230</v>
      </c>
      <c r="E224" s="1655" t="s">
        <v>2975</v>
      </c>
      <c r="F224" s="1600">
        <v>70</v>
      </c>
      <c r="G224" s="1600">
        <v>40243350</v>
      </c>
      <c r="H224" s="1600">
        <f t="shared" si="14"/>
        <v>2817034500</v>
      </c>
      <c r="I224" s="1602">
        <v>70</v>
      </c>
      <c r="J224" s="1603">
        <v>41820975</v>
      </c>
      <c r="K224" s="1560">
        <f t="shared" si="12"/>
        <v>2927468250</v>
      </c>
      <c r="L224" s="1560">
        <f t="shared" si="13"/>
        <v>1577625</v>
      </c>
      <c r="M224" s="1654" t="s">
        <v>3204</v>
      </c>
      <c r="N224" s="1654" t="s">
        <v>2977</v>
      </c>
    </row>
    <row r="225" spans="1:14" ht="18">
      <c r="A225" s="1488">
        <v>178</v>
      </c>
      <c r="B225" s="1653">
        <v>51</v>
      </c>
      <c r="C225" s="1654" t="s">
        <v>3252</v>
      </c>
      <c r="D225" s="1529" t="s">
        <v>3253</v>
      </c>
      <c r="E225" s="1655" t="s">
        <v>2975</v>
      </c>
      <c r="F225" s="1600">
        <v>10</v>
      </c>
      <c r="G225" s="1600">
        <v>7269150</v>
      </c>
      <c r="H225" s="1600">
        <f t="shared" si="14"/>
        <v>72691500</v>
      </c>
      <c r="I225" s="1602">
        <v>10</v>
      </c>
      <c r="J225" s="1603">
        <v>7553931</v>
      </c>
      <c r="K225" s="1560">
        <f t="shared" si="12"/>
        <v>75539310</v>
      </c>
      <c r="L225" s="1560">
        <f t="shared" si="13"/>
        <v>284781</v>
      </c>
      <c r="M225" s="1654" t="s">
        <v>3204</v>
      </c>
      <c r="N225" s="1654" t="s">
        <v>2977</v>
      </c>
    </row>
    <row r="226" spans="1:14" ht="18">
      <c r="A226" s="1488">
        <v>179</v>
      </c>
      <c r="B226" s="1653">
        <v>52</v>
      </c>
      <c r="C226" s="1654" t="s">
        <v>3254</v>
      </c>
      <c r="D226" s="1529" t="s">
        <v>3255</v>
      </c>
      <c r="E226" s="1655" t="s">
        <v>2975</v>
      </c>
      <c r="F226" s="1600">
        <v>28</v>
      </c>
      <c r="G226" s="1600">
        <v>13058850</v>
      </c>
      <c r="H226" s="1600">
        <f t="shared" si="14"/>
        <v>365647800</v>
      </c>
      <c r="I226" s="1602">
        <v>28</v>
      </c>
      <c r="J226" s="1603">
        <v>13570809</v>
      </c>
      <c r="K226" s="1560">
        <f t="shared" si="12"/>
        <v>379982652</v>
      </c>
      <c r="L226" s="1560">
        <f t="shared" si="13"/>
        <v>511959</v>
      </c>
      <c r="M226" s="1654" t="s">
        <v>3204</v>
      </c>
      <c r="N226" s="1654" t="s">
        <v>2977</v>
      </c>
    </row>
    <row r="227" spans="1:14">
      <c r="A227" s="1488">
        <v>180</v>
      </c>
      <c r="B227" s="1653">
        <v>53</v>
      </c>
      <c r="C227" s="1654" t="s">
        <v>3256</v>
      </c>
      <c r="D227" s="1529" t="s">
        <v>3153</v>
      </c>
      <c r="E227" s="1655" t="s">
        <v>2975</v>
      </c>
      <c r="F227" s="1600">
        <v>6</v>
      </c>
      <c r="G227" s="1600">
        <v>2504250</v>
      </c>
      <c r="H227" s="1600">
        <f t="shared" si="14"/>
        <v>15025500</v>
      </c>
      <c r="I227" s="1602">
        <v>6</v>
      </c>
      <c r="J227" s="1603">
        <v>2602194</v>
      </c>
      <c r="K227" s="1560">
        <f t="shared" si="12"/>
        <v>15613164</v>
      </c>
      <c r="L227" s="1560">
        <f t="shared" si="13"/>
        <v>97944</v>
      </c>
      <c r="M227" s="1654" t="s">
        <v>3154</v>
      </c>
      <c r="N227" s="1654" t="s">
        <v>2977</v>
      </c>
    </row>
    <row r="228" spans="1:14">
      <c r="A228" s="1488">
        <v>181</v>
      </c>
      <c r="B228" s="1653">
        <v>54</v>
      </c>
      <c r="C228" s="1654" t="s">
        <v>3257</v>
      </c>
      <c r="D228" s="1529" t="s">
        <v>3258</v>
      </c>
      <c r="E228" s="1655" t="s">
        <v>2975</v>
      </c>
      <c r="F228" s="1600">
        <v>8</v>
      </c>
      <c r="G228" s="1600">
        <v>11582550</v>
      </c>
      <c r="H228" s="1600">
        <f t="shared" si="14"/>
        <v>92660400</v>
      </c>
      <c r="I228" s="1602">
        <v>8</v>
      </c>
      <c r="J228" s="1603">
        <v>12037095</v>
      </c>
      <c r="K228" s="1560">
        <f t="shared" si="12"/>
        <v>96296760</v>
      </c>
      <c r="L228" s="1560">
        <f t="shared" si="13"/>
        <v>454545</v>
      </c>
      <c r="M228" s="1654" t="s">
        <v>3180</v>
      </c>
      <c r="N228" s="1654" t="s">
        <v>2977</v>
      </c>
    </row>
    <row r="229" spans="1:14">
      <c r="A229" s="1488">
        <v>182</v>
      </c>
      <c r="B229" s="1653">
        <v>55</v>
      </c>
      <c r="C229" s="1654" t="s">
        <v>3259</v>
      </c>
      <c r="D229" s="1529" t="s">
        <v>3169</v>
      </c>
      <c r="E229" s="1655" t="s">
        <v>2975</v>
      </c>
      <c r="F229" s="1600">
        <v>3</v>
      </c>
      <c r="G229" s="1600">
        <v>15209250</v>
      </c>
      <c r="H229" s="1600">
        <f t="shared" si="14"/>
        <v>45627750</v>
      </c>
      <c r="I229" s="1602">
        <v>3</v>
      </c>
      <c r="J229" s="1603">
        <v>15805713</v>
      </c>
      <c r="K229" s="1560">
        <f t="shared" si="12"/>
        <v>47417139</v>
      </c>
      <c r="L229" s="1560">
        <f t="shared" si="13"/>
        <v>596463</v>
      </c>
      <c r="M229" s="1654" t="s">
        <v>3180</v>
      </c>
      <c r="N229" s="1654" t="s">
        <v>2977</v>
      </c>
    </row>
    <row r="230" spans="1:14">
      <c r="A230" s="1488">
        <v>183</v>
      </c>
      <c r="B230" s="1653">
        <v>56</v>
      </c>
      <c r="C230" s="1654" t="s">
        <v>3260</v>
      </c>
      <c r="D230" s="1529" t="s">
        <v>3261</v>
      </c>
      <c r="E230" s="1655" t="s">
        <v>2975</v>
      </c>
      <c r="F230" s="1600">
        <v>2</v>
      </c>
      <c r="G230" s="1600">
        <v>33093900</v>
      </c>
      <c r="H230" s="1600">
        <f t="shared" si="14"/>
        <v>66187800</v>
      </c>
      <c r="I230" s="1602">
        <v>2</v>
      </c>
      <c r="J230" s="1603">
        <v>34391700</v>
      </c>
      <c r="K230" s="1560">
        <f t="shared" si="12"/>
        <v>68783400</v>
      </c>
      <c r="L230" s="1560">
        <f t="shared" si="13"/>
        <v>1297800</v>
      </c>
      <c r="M230" s="1654" t="s">
        <v>3154</v>
      </c>
      <c r="N230" s="1654" t="s">
        <v>2977</v>
      </c>
    </row>
    <row r="231" spans="1:14" ht="18">
      <c r="A231" s="1488">
        <v>184</v>
      </c>
      <c r="B231" s="1653">
        <v>57</v>
      </c>
      <c r="C231" s="1654" t="s">
        <v>3262</v>
      </c>
      <c r="D231" s="1529" t="s">
        <v>3208</v>
      </c>
      <c r="E231" s="1655" t="s">
        <v>2975</v>
      </c>
      <c r="F231" s="1600">
        <v>1</v>
      </c>
      <c r="G231" s="1600">
        <v>19010250</v>
      </c>
      <c r="H231" s="1600">
        <f t="shared" si="14"/>
        <v>19010250</v>
      </c>
      <c r="I231" s="1602">
        <v>1</v>
      </c>
      <c r="J231" s="1603">
        <v>19755750</v>
      </c>
      <c r="K231" s="1560">
        <f t="shared" si="12"/>
        <v>19755750</v>
      </c>
      <c r="L231" s="1560">
        <f t="shared" si="13"/>
        <v>745500</v>
      </c>
      <c r="M231" s="1654" t="s">
        <v>3263</v>
      </c>
      <c r="N231" s="1654" t="s">
        <v>2977</v>
      </c>
    </row>
    <row r="232" spans="1:14">
      <c r="A232" s="1488">
        <v>185</v>
      </c>
      <c r="B232" s="1653">
        <v>58</v>
      </c>
      <c r="C232" s="1654" t="s">
        <v>3264</v>
      </c>
      <c r="D232" s="1529" t="s">
        <v>3265</v>
      </c>
      <c r="E232" s="1655" t="s">
        <v>2975</v>
      </c>
      <c r="F232" s="1600">
        <v>5</v>
      </c>
      <c r="G232" s="1600">
        <v>15209250</v>
      </c>
      <c r="H232" s="1600">
        <f t="shared" si="14"/>
        <v>76046250</v>
      </c>
      <c r="I232" s="1602">
        <v>5</v>
      </c>
      <c r="J232" s="1603">
        <v>15805713</v>
      </c>
      <c r="K232" s="1560">
        <f t="shared" si="12"/>
        <v>79028565</v>
      </c>
      <c r="L232" s="1560">
        <f t="shared" si="13"/>
        <v>596463</v>
      </c>
      <c r="M232" s="1654" t="s">
        <v>3180</v>
      </c>
      <c r="N232" s="1654" t="s">
        <v>2977</v>
      </c>
    </row>
    <row r="233" spans="1:14">
      <c r="A233" s="1488">
        <v>186</v>
      </c>
      <c r="B233" s="1653">
        <v>59</v>
      </c>
      <c r="C233" s="1654" t="s">
        <v>3266</v>
      </c>
      <c r="D233" s="1529" t="s">
        <v>3169</v>
      </c>
      <c r="E233" s="1655" t="s">
        <v>2975</v>
      </c>
      <c r="F233" s="1600">
        <v>1</v>
      </c>
      <c r="G233" s="1600">
        <v>19010250</v>
      </c>
      <c r="H233" s="1600">
        <f t="shared" si="14"/>
        <v>19010250</v>
      </c>
      <c r="I233" s="1602">
        <v>1</v>
      </c>
      <c r="J233" s="1603">
        <v>19755750</v>
      </c>
      <c r="K233" s="1560">
        <f t="shared" si="12"/>
        <v>19755750</v>
      </c>
      <c r="L233" s="1560">
        <f t="shared" si="13"/>
        <v>745500</v>
      </c>
      <c r="M233" s="1654" t="s">
        <v>3180</v>
      </c>
      <c r="N233" s="1654" t="s">
        <v>2977</v>
      </c>
    </row>
    <row r="234" spans="1:14">
      <c r="A234" s="1488">
        <v>187</v>
      </c>
      <c r="B234" s="1653">
        <v>60</v>
      </c>
      <c r="C234" s="1654" t="s">
        <v>3267</v>
      </c>
      <c r="D234" s="1529" t="s">
        <v>3198</v>
      </c>
      <c r="E234" s="1655" t="s">
        <v>3009</v>
      </c>
      <c r="F234" s="1600">
        <v>100</v>
      </c>
      <c r="G234" s="1600">
        <v>596400</v>
      </c>
      <c r="H234" s="1600">
        <f t="shared" si="14"/>
        <v>59640000</v>
      </c>
      <c r="I234" s="1602">
        <v>100</v>
      </c>
      <c r="J234" s="1603">
        <v>619941</v>
      </c>
      <c r="K234" s="1560">
        <f t="shared" si="12"/>
        <v>61994100</v>
      </c>
      <c r="L234" s="1560">
        <f t="shared" si="13"/>
        <v>23541</v>
      </c>
      <c r="M234" s="1654" t="s">
        <v>3117</v>
      </c>
      <c r="N234" s="1654" t="s">
        <v>2977</v>
      </c>
    </row>
    <row r="235" spans="1:14">
      <c r="A235" s="1488">
        <v>188</v>
      </c>
      <c r="B235" s="1653">
        <v>61</v>
      </c>
      <c r="C235" s="1654" t="s">
        <v>3268</v>
      </c>
      <c r="D235" s="1529" t="s">
        <v>3215</v>
      </c>
      <c r="E235" s="1655" t="s">
        <v>2975</v>
      </c>
      <c r="F235" s="1600">
        <v>6</v>
      </c>
      <c r="G235" s="1600">
        <v>7927500</v>
      </c>
      <c r="H235" s="1600">
        <f t="shared" si="14"/>
        <v>47565000</v>
      </c>
      <c r="I235" s="1602">
        <v>6</v>
      </c>
      <c r="J235" s="1603">
        <v>8238426</v>
      </c>
      <c r="K235" s="1560">
        <f t="shared" si="12"/>
        <v>49430556</v>
      </c>
      <c r="L235" s="1560">
        <f t="shared" si="13"/>
        <v>310926</v>
      </c>
      <c r="M235" s="1654" t="s">
        <v>3154</v>
      </c>
      <c r="N235" s="1654" t="s">
        <v>2977</v>
      </c>
    </row>
    <row r="236" spans="1:14">
      <c r="A236" s="1488">
        <v>189</v>
      </c>
      <c r="B236" s="1653">
        <v>62</v>
      </c>
      <c r="C236" s="1654" t="s">
        <v>3269</v>
      </c>
      <c r="D236" s="1529" t="s">
        <v>3270</v>
      </c>
      <c r="E236" s="1655" t="s">
        <v>2975</v>
      </c>
      <c r="F236" s="1600">
        <v>15</v>
      </c>
      <c r="G236" s="1600">
        <v>3276000</v>
      </c>
      <c r="H236" s="1600">
        <f t="shared" si="14"/>
        <v>49140000</v>
      </c>
      <c r="I236" s="1602">
        <v>15</v>
      </c>
      <c r="J236" s="1603">
        <v>3404667</v>
      </c>
      <c r="K236" s="1560">
        <f t="shared" si="12"/>
        <v>51070005</v>
      </c>
      <c r="L236" s="1560">
        <f t="shared" si="13"/>
        <v>128667</v>
      </c>
      <c r="M236" s="1654" t="s">
        <v>3154</v>
      </c>
      <c r="N236" s="1654" t="s">
        <v>2977</v>
      </c>
    </row>
    <row r="237" spans="1:14">
      <c r="A237" s="1488">
        <v>190</v>
      </c>
      <c r="B237" s="1653">
        <v>63</v>
      </c>
      <c r="C237" s="1654" t="s">
        <v>3271</v>
      </c>
      <c r="D237" s="1529" t="s">
        <v>3272</v>
      </c>
      <c r="E237" s="1655" t="s">
        <v>2975</v>
      </c>
      <c r="F237" s="1600">
        <v>2</v>
      </c>
      <c r="G237" s="1600">
        <v>29837850</v>
      </c>
      <c r="H237" s="1600">
        <f t="shared" si="14"/>
        <v>59675700</v>
      </c>
      <c r="I237" s="1602">
        <v>2</v>
      </c>
      <c r="J237" s="1603">
        <v>31008180</v>
      </c>
      <c r="K237" s="1560">
        <f t="shared" si="12"/>
        <v>62016360</v>
      </c>
      <c r="L237" s="1560">
        <f t="shared" si="13"/>
        <v>1170330</v>
      </c>
      <c r="M237" s="1654" t="s">
        <v>3154</v>
      </c>
      <c r="N237" s="1654" t="s">
        <v>2977</v>
      </c>
    </row>
    <row r="238" spans="1:14" ht="18">
      <c r="A238" s="1488">
        <v>191</v>
      </c>
      <c r="B238" s="1653">
        <v>64</v>
      </c>
      <c r="C238" s="1654" t="s">
        <v>3273</v>
      </c>
      <c r="D238" s="1529" t="s">
        <v>3274</v>
      </c>
      <c r="E238" s="1655" t="s">
        <v>2975</v>
      </c>
      <c r="F238" s="1600">
        <v>45</v>
      </c>
      <c r="G238" s="1600">
        <v>9610650</v>
      </c>
      <c r="H238" s="1600">
        <f t="shared" si="14"/>
        <v>432479250</v>
      </c>
      <c r="I238" s="1602">
        <v>45</v>
      </c>
      <c r="J238" s="1603">
        <v>9988062</v>
      </c>
      <c r="K238" s="1560">
        <f t="shared" si="12"/>
        <v>449462790</v>
      </c>
      <c r="L238" s="1560">
        <f t="shared" si="13"/>
        <v>377412</v>
      </c>
      <c r="M238" s="1654" t="s">
        <v>3154</v>
      </c>
      <c r="N238" s="1654" t="s">
        <v>2977</v>
      </c>
    </row>
    <row r="239" spans="1:14" ht="18">
      <c r="A239" s="1488">
        <v>192</v>
      </c>
      <c r="B239" s="1653">
        <v>65</v>
      </c>
      <c r="C239" s="1654" t="s">
        <v>3275</v>
      </c>
      <c r="D239" s="1529" t="s">
        <v>3276</v>
      </c>
      <c r="E239" s="1655" t="s">
        <v>2975</v>
      </c>
      <c r="F239" s="1600">
        <v>2</v>
      </c>
      <c r="G239" s="1600">
        <v>4100250</v>
      </c>
      <c r="H239" s="1600">
        <f t="shared" si="14"/>
        <v>8200500</v>
      </c>
      <c r="I239" s="1602">
        <v>2</v>
      </c>
      <c r="J239" s="1603">
        <v>4260564</v>
      </c>
      <c r="K239" s="1560">
        <f t="shared" ref="K239:K270" si="15">I239*J239</f>
        <v>8521128</v>
      </c>
      <c r="L239" s="1560">
        <f t="shared" ref="L239:L284" si="16">J239-G239</f>
        <v>160314</v>
      </c>
      <c r="M239" s="1654" t="s">
        <v>3154</v>
      </c>
      <c r="N239" s="1654" t="s">
        <v>2977</v>
      </c>
    </row>
    <row r="240" spans="1:14">
      <c r="A240" s="1488">
        <v>193</v>
      </c>
      <c r="B240" s="1653">
        <v>66</v>
      </c>
      <c r="C240" s="1654" t="s">
        <v>3277</v>
      </c>
      <c r="D240" s="1529" t="s">
        <v>3278</v>
      </c>
      <c r="E240" s="1655" t="s">
        <v>2975</v>
      </c>
      <c r="F240" s="1600">
        <v>90</v>
      </c>
      <c r="G240" s="1600">
        <v>8197350</v>
      </c>
      <c r="H240" s="1600">
        <f t="shared" ref="H240:H284" si="17">G240*F240</f>
        <v>737761500</v>
      </c>
      <c r="I240" s="1602">
        <v>90</v>
      </c>
      <c r="J240" s="1603">
        <v>8518902</v>
      </c>
      <c r="K240" s="1560">
        <f t="shared" si="15"/>
        <v>766701180</v>
      </c>
      <c r="L240" s="1560">
        <f t="shared" si="16"/>
        <v>321552</v>
      </c>
      <c r="M240" s="1654" t="s">
        <v>3154</v>
      </c>
      <c r="N240" s="1654" t="s">
        <v>2977</v>
      </c>
    </row>
    <row r="241" spans="1:14" ht="18">
      <c r="A241" s="1488">
        <v>194</v>
      </c>
      <c r="B241" s="1653">
        <v>67</v>
      </c>
      <c r="C241" s="1654" t="s">
        <v>3279</v>
      </c>
      <c r="D241" s="1529" t="s">
        <v>3280</v>
      </c>
      <c r="E241" s="1655" t="s">
        <v>2975</v>
      </c>
      <c r="F241" s="1600">
        <v>20</v>
      </c>
      <c r="G241" s="1600">
        <v>9291450</v>
      </c>
      <c r="H241" s="1600">
        <f t="shared" si="17"/>
        <v>185829000</v>
      </c>
      <c r="I241" s="1602">
        <v>20</v>
      </c>
      <c r="J241" s="1603">
        <v>9655275</v>
      </c>
      <c r="K241" s="1560">
        <f t="shared" si="15"/>
        <v>193105500</v>
      </c>
      <c r="L241" s="1560">
        <f t="shared" si="16"/>
        <v>363825</v>
      </c>
      <c r="M241" s="1654" t="s">
        <v>3154</v>
      </c>
      <c r="N241" s="1654" t="s">
        <v>2977</v>
      </c>
    </row>
    <row r="242" spans="1:14">
      <c r="A242" s="1488">
        <v>195</v>
      </c>
      <c r="B242" s="1653">
        <v>68</v>
      </c>
      <c r="C242" s="1654" t="s">
        <v>3281</v>
      </c>
      <c r="D242" s="1529" t="s">
        <v>3282</v>
      </c>
      <c r="E242" s="1655" t="s">
        <v>2975</v>
      </c>
      <c r="F242" s="1600">
        <v>10</v>
      </c>
      <c r="G242" s="1600">
        <v>3909150</v>
      </c>
      <c r="H242" s="1600">
        <f t="shared" si="17"/>
        <v>39091500</v>
      </c>
      <c r="I242" s="1602">
        <v>10</v>
      </c>
      <c r="J242" s="1603">
        <v>4062450</v>
      </c>
      <c r="K242" s="1560">
        <f t="shared" si="15"/>
        <v>40624500</v>
      </c>
      <c r="L242" s="1560">
        <f t="shared" si="16"/>
        <v>153300</v>
      </c>
      <c r="M242" s="1654" t="s">
        <v>3154</v>
      </c>
      <c r="N242" s="1654" t="s">
        <v>2977</v>
      </c>
    </row>
    <row r="243" spans="1:14">
      <c r="A243" s="1488">
        <v>196</v>
      </c>
      <c r="B243" s="1653">
        <v>69</v>
      </c>
      <c r="C243" s="1654" t="s">
        <v>3283</v>
      </c>
      <c r="D243" s="1529" t="s">
        <v>3284</v>
      </c>
      <c r="E243" s="1655" t="s">
        <v>2975</v>
      </c>
      <c r="F243" s="1600">
        <v>2</v>
      </c>
      <c r="G243" s="1600">
        <v>10760400</v>
      </c>
      <c r="H243" s="1600">
        <f t="shared" si="17"/>
        <v>21520800</v>
      </c>
      <c r="I243" s="1602">
        <v>2</v>
      </c>
      <c r="J243" s="1603">
        <v>11182311</v>
      </c>
      <c r="K243" s="1560">
        <f t="shared" si="15"/>
        <v>22364622</v>
      </c>
      <c r="L243" s="1560">
        <f t="shared" si="16"/>
        <v>421911</v>
      </c>
      <c r="M243" s="1654" t="s">
        <v>3228</v>
      </c>
      <c r="N243" s="1654" t="s">
        <v>2977</v>
      </c>
    </row>
    <row r="244" spans="1:14">
      <c r="A244" s="1488">
        <v>197</v>
      </c>
      <c r="B244" s="1653">
        <v>70</v>
      </c>
      <c r="C244" s="1654" t="s">
        <v>3285</v>
      </c>
      <c r="D244" s="1529" t="s">
        <v>3286</v>
      </c>
      <c r="E244" s="1655" t="s">
        <v>3287</v>
      </c>
      <c r="F244" s="1600">
        <v>120</v>
      </c>
      <c r="G244" s="1600">
        <v>4276797</v>
      </c>
      <c r="H244" s="1600">
        <f t="shared" si="17"/>
        <v>513215640</v>
      </c>
      <c r="I244" s="1602">
        <v>120</v>
      </c>
      <c r="J244" s="1603">
        <v>4444792</v>
      </c>
      <c r="K244" s="1560">
        <f t="shared" si="15"/>
        <v>533375040</v>
      </c>
      <c r="L244" s="1560">
        <f t="shared" si="16"/>
        <v>167995</v>
      </c>
      <c r="M244" s="1654" t="s">
        <v>3154</v>
      </c>
      <c r="N244" s="1654" t="s">
        <v>2977</v>
      </c>
    </row>
    <row r="245" spans="1:14">
      <c r="A245" s="1488">
        <v>198</v>
      </c>
      <c r="B245" s="1653">
        <v>71</v>
      </c>
      <c r="C245" s="1654" t="s">
        <v>3288</v>
      </c>
      <c r="D245" s="1529" t="s">
        <v>3289</v>
      </c>
      <c r="E245" s="1655" t="s">
        <v>2975</v>
      </c>
      <c r="F245" s="1600">
        <v>25</v>
      </c>
      <c r="G245" s="1600">
        <v>8829450</v>
      </c>
      <c r="H245" s="1600">
        <f t="shared" si="17"/>
        <v>220736250</v>
      </c>
      <c r="I245" s="1602">
        <v>25</v>
      </c>
      <c r="J245" s="1603">
        <v>9175572</v>
      </c>
      <c r="K245" s="1560">
        <f t="shared" si="15"/>
        <v>229389300</v>
      </c>
      <c r="L245" s="1560">
        <f t="shared" si="16"/>
        <v>346122</v>
      </c>
      <c r="M245" s="1654" t="s">
        <v>3154</v>
      </c>
      <c r="N245" s="1654" t="s">
        <v>2977</v>
      </c>
    </row>
    <row r="246" spans="1:14">
      <c r="A246" s="1488">
        <v>199</v>
      </c>
      <c r="B246" s="1653">
        <v>72</v>
      </c>
      <c r="C246" s="1654" t="s">
        <v>3290</v>
      </c>
      <c r="D246" s="1529" t="s">
        <v>3291</v>
      </c>
      <c r="E246" s="1655" t="s">
        <v>2975</v>
      </c>
      <c r="F246" s="1600">
        <v>4</v>
      </c>
      <c r="G246" s="1600">
        <v>6146700</v>
      </c>
      <c r="H246" s="1600">
        <f t="shared" si="17"/>
        <v>24586800</v>
      </c>
      <c r="I246" s="1602">
        <v>4</v>
      </c>
      <c r="J246" s="1603">
        <v>6387507</v>
      </c>
      <c r="K246" s="1560">
        <f t="shared" si="15"/>
        <v>25550028</v>
      </c>
      <c r="L246" s="1560">
        <f t="shared" si="16"/>
        <v>240807</v>
      </c>
      <c r="M246" s="1654" t="s">
        <v>3154</v>
      </c>
      <c r="N246" s="1654" t="s">
        <v>2977</v>
      </c>
    </row>
    <row r="247" spans="1:14">
      <c r="A247" s="1488">
        <v>200</v>
      </c>
      <c r="B247" s="1653">
        <v>73</v>
      </c>
      <c r="C247" s="1654" t="s">
        <v>3292</v>
      </c>
      <c r="D247" s="1529" t="s">
        <v>3291</v>
      </c>
      <c r="E247" s="1655" t="s">
        <v>2975</v>
      </c>
      <c r="F247" s="1600">
        <v>4</v>
      </c>
      <c r="G247" s="1600">
        <v>4942350</v>
      </c>
      <c r="H247" s="1600">
        <f t="shared" si="17"/>
        <v>19769400</v>
      </c>
      <c r="I247" s="1602">
        <v>4</v>
      </c>
      <c r="J247" s="1603">
        <v>5136495</v>
      </c>
      <c r="K247" s="1560">
        <f t="shared" si="15"/>
        <v>20545980</v>
      </c>
      <c r="L247" s="1560">
        <f t="shared" si="16"/>
        <v>194145</v>
      </c>
      <c r="M247" s="1654" t="s">
        <v>3154</v>
      </c>
      <c r="N247" s="1654" t="s">
        <v>2977</v>
      </c>
    </row>
    <row r="248" spans="1:14">
      <c r="A248" s="1488">
        <v>201</v>
      </c>
      <c r="B248" s="1653">
        <v>74</v>
      </c>
      <c r="C248" s="1654" t="s">
        <v>3293</v>
      </c>
      <c r="D248" s="1529" t="s">
        <v>3291</v>
      </c>
      <c r="E248" s="1655" t="s">
        <v>2975</v>
      </c>
      <c r="F248" s="1600">
        <v>2</v>
      </c>
      <c r="G248" s="1600">
        <v>13252050</v>
      </c>
      <c r="H248" s="1600">
        <f t="shared" si="17"/>
        <v>26504100</v>
      </c>
      <c r="I248" s="1602">
        <v>2</v>
      </c>
      <c r="J248" s="1603">
        <v>13772262</v>
      </c>
      <c r="K248" s="1560">
        <f t="shared" si="15"/>
        <v>27544524</v>
      </c>
      <c r="L248" s="1560">
        <f t="shared" si="16"/>
        <v>520212</v>
      </c>
      <c r="M248" s="1654" t="s">
        <v>3154</v>
      </c>
      <c r="N248" s="1654" t="s">
        <v>2977</v>
      </c>
    </row>
    <row r="249" spans="1:14">
      <c r="A249" s="1488">
        <v>202</v>
      </c>
      <c r="B249" s="1653">
        <v>75</v>
      </c>
      <c r="C249" s="1654" t="s">
        <v>3294</v>
      </c>
      <c r="D249" s="1529" t="s">
        <v>3289</v>
      </c>
      <c r="E249" s="1655" t="s">
        <v>2975</v>
      </c>
      <c r="F249" s="1600">
        <v>80</v>
      </c>
      <c r="G249" s="1600">
        <v>11072250</v>
      </c>
      <c r="H249" s="1600">
        <f t="shared" si="17"/>
        <v>885780000</v>
      </c>
      <c r="I249" s="1602">
        <v>80</v>
      </c>
      <c r="J249" s="1603">
        <v>11506194</v>
      </c>
      <c r="K249" s="1560">
        <f t="shared" si="15"/>
        <v>920495520</v>
      </c>
      <c r="L249" s="1560">
        <f t="shared" si="16"/>
        <v>433944</v>
      </c>
      <c r="M249" s="1654" t="s">
        <v>3154</v>
      </c>
      <c r="N249" s="1654" t="s">
        <v>2977</v>
      </c>
    </row>
    <row r="250" spans="1:14">
      <c r="A250" s="1488">
        <v>203</v>
      </c>
      <c r="B250" s="1653">
        <v>76</v>
      </c>
      <c r="C250" s="1654" t="s">
        <v>3295</v>
      </c>
      <c r="D250" s="1529" t="s">
        <v>3296</v>
      </c>
      <c r="E250" s="1655" t="s">
        <v>2975</v>
      </c>
      <c r="F250" s="1600">
        <v>1</v>
      </c>
      <c r="G250" s="1600">
        <v>2352000</v>
      </c>
      <c r="H250" s="1600">
        <f t="shared" si="17"/>
        <v>2352000</v>
      </c>
      <c r="I250" s="1602">
        <v>1</v>
      </c>
      <c r="J250" s="1603">
        <v>2444148</v>
      </c>
      <c r="K250" s="1560">
        <f t="shared" si="15"/>
        <v>2444148</v>
      </c>
      <c r="L250" s="1560">
        <f t="shared" si="16"/>
        <v>92148</v>
      </c>
      <c r="M250" s="1654" t="s">
        <v>3154</v>
      </c>
      <c r="N250" s="1654" t="s">
        <v>2977</v>
      </c>
    </row>
    <row r="251" spans="1:14">
      <c r="A251" s="1488">
        <v>204</v>
      </c>
      <c r="B251" s="1653">
        <v>77</v>
      </c>
      <c r="C251" s="1654" t="s">
        <v>3297</v>
      </c>
      <c r="D251" s="1529" t="s">
        <v>3298</v>
      </c>
      <c r="E251" s="1655" t="s">
        <v>2975</v>
      </c>
      <c r="F251" s="1600">
        <v>10</v>
      </c>
      <c r="G251" s="1600">
        <v>11877600</v>
      </c>
      <c r="H251" s="1600">
        <f t="shared" si="17"/>
        <v>118776000</v>
      </c>
      <c r="I251" s="1602">
        <v>10</v>
      </c>
      <c r="J251" s="1603">
        <v>12343170</v>
      </c>
      <c r="K251" s="1560">
        <f t="shared" si="15"/>
        <v>123431700</v>
      </c>
      <c r="L251" s="1560">
        <f t="shared" si="16"/>
        <v>465570</v>
      </c>
      <c r="M251" s="1654" t="s">
        <v>3154</v>
      </c>
      <c r="N251" s="1654" t="s">
        <v>2977</v>
      </c>
    </row>
    <row r="252" spans="1:14">
      <c r="A252" s="1488">
        <v>205</v>
      </c>
      <c r="B252" s="1653">
        <v>78</v>
      </c>
      <c r="C252" s="1654" t="s">
        <v>3299</v>
      </c>
      <c r="D252" s="1529" t="s">
        <v>3300</v>
      </c>
      <c r="E252" s="1655" t="s">
        <v>3287</v>
      </c>
      <c r="F252" s="1600">
        <v>8</v>
      </c>
      <c r="G252" s="1600">
        <v>4071060</v>
      </c>
      <c r="H252" s="1600">
        <f t="shared" si="17"/>
        <v>32568480</v>
      </c>
      <c r="I252" s="1602">
        <v>8</v>
      </c>
      <c r="J252" s="1603">
        <v>4230248</v>
      </c>
      <c r="K252" s="1560">
        <f t="shared" si="15"/>
        <v>33841984</v>
      </c>
      <c r="L252" s="1560">
        <f t="shared" si="16"/>
        <v>159188</v>
      </c>
      <c r="M252" s="1654" t="s">
        <v>3154</v>
      </c>
      <c r="N252" s="1654" t="s">
        <v>2977</v>
      </c>
    </row>
    <row r="253" spans="1:14" ht="18">
      <c r="A253" s="1488">
        <v>206</v>
      </c>
      <c r="B253" s="1653">
        <v>79</v>
      </c>
      <c r="C253" s="1598" t="s">
        <v>3301</v>
      </c>
      <c r="D253" s="1529" t="s">
        <v>1218</v>
      </c>
      <c r="E253" s="1655" t="s">
        <v>209</v>
      </c>
      <c r="F253" s="1600">
        <v>4</v>
      </c>
      <c r="G253" s="1600">
        <v>20079400</v>
      </c>
      <c r="H253" s="1600">
        <f t="shared" si="17"/>
        <v>80317600</v>
      </c>
      <c r="I253" s="1602">
        <v>4</v>
      </c>
      <c r="J253" s="1603">
        <v>21284164</v>
      </c>
      <c r="K253" s="1560">
        <f t="shared" si="15"/>
        <v>85136656</v>
      </c>
      <c r="L253" s="1560">
        <f t="shared" si="16"/>
        <v>1204764</v>
      </c>
      <c r="M253" s="1654" t="s">
        <v>3204</v>
      </c>
      <c r="N253" s="1654" t="s">
        <v>2977</v>
      </c>
    </row>
    <row r="254" spans="1:14" ht="18">
      <c r="A254" s="1488">
        <v>207</v>
      </c>
      <c r="B254" s="1653">
        <v>80</v>
      </c>
      <c r="C254" s="1598" t="s">
        <v>3302</v>
      </c>
      <c r="D254" s="1529" t="s">
        <v>1218</v>
      </c>
      <c r="E254" s="1655" t="s">
        <v>209</v>
      </c>
      <c r="F254" s="1600">
        <v>6</v>
      </c>
      <c r="G254" s="1600">
        <v>20079400</v>
      </c>
      <c r="H254" s="1600">
        <f t="shared" si="17"/>
        <v>120476400</v>
      </c>
      <c r="I254" s="1602">
        <v>6</v>
      </c>
      <c r="J254" s="1603">
        <v>21284164</v>
      </c>
      <c r="K254" s="1560">
        <f t="shared" si="15"/>
        <v>127704984</v>
      </c>
      <c r="L254" s="1560">
        <f t="shared" si="16"/>
        <v>1204764</v>
      </c>
      <c r="M254" s="1654" t="s">
        <v>3204</v>
      </c>
      <c r="N254" s="1654" t="s">
        <v>2977</v>
      </c>
    </row>
    <row r="255" spans="1:14" ht="18">
      <c r="A255" s="1488">
        <v>208</v>
      </c>
      <c r="B255" s="1653">
        <v>81</v>
      </c>
      <c r="C255" s="1598" t="s">
        <v>3303</v>
      </c>
      <c r="D255" s="1529" t="s">
        <v>1218</v>
      </c>
      <c r="E255" s="1655" t="s">
        <v>209</v>
      </c>
      <c r="F255" s="1600">
        <v>4</v>
      </c>
      <c r="G255" s="1600">
        <v>20079400</v>
      </c>
      <c r="H255" s="1600">
        <f t="shared" si="17"/>
        <v>80317600</v>
      </c>
      <c r="I255" s="1602">
        <v>4</v>
      </c>
      <c r="J255" s="1603">
        <v>21284164</v>
      </c>
      <c r="K255" s="1560">
        <f t="shared" si="15"/>
        <v>85136656</v>
      </c>
      <c r="L255" s="1560">
        <f t="shared" si="16"/>
        <v>1204764</v>
      </c>
      <c r="M255" s="1654" t="s">
        <v>3204</v>
      </c>
      <c r="N255" s="1654" t="s">
        <v>2977</v>
      </c>
    </row>
    <row r="256" spans="1:14" ht="18">
      <c r="A256" s="1488">
        <v>209</v>
      </c>
      <c r="B256" s="1653">
        <v>82</v>
      </c>
      <c r="C256" s="1598" t="s">
        <v>3304</v>
      </c>
      <c r="D256" s="1529" t="s">
        <v>1218</v>
      </c>
      <c r="E256" s="1655" t="s">
        <v>209</v>
      </c>
      <c r="F256" s="1600">
        <v>4</v>
      </c>
      <c r="G256" s="1600">
        <v>42948400</v>
      </c>
      <c r="H256" s="1600">
        <f t="shared" si="17"/>
        <v>171793600</v>
      </c>
      <c r="I256" s="1602">
        <v>4</v>
      </c>
      <c r="J256" s="1603">
        <v>45525304</v>
      </c>
      <c r="K256" s="1560">
        <f t="shared" si="15"/>
        <v>182101216</v>
      </c>
      <c r="L256" s="1560">
        <f t="shared" si="16"/>
        <v>2576904</v>
      </c>
      <c r="M256" s="1654" t="s">
        <v>3204</v>
      </c>
      <c r="N256" s="1654" t="s">
        <v>2977</v>
      </c>
    </row>
    <row r="257" spans="1:14" ht="18">
      <c r="A257" s="1488">
        <v>210</v>
      </c>
      <c r="B257" s="1653">
        <v>83</v>
      </c>
      <c r="C257" s="1598" t="s">
        <v>3305</v>
      </c>
      <c r="D257" s="1529" t="s">
        <v>3306</v>
      </c>
      <c r="E257" s="1655" t="s">
        <v>447</v>
      </c>
      <c r="F257" s="1600">
        <v>20</v>
      </c>
      <c r="G257" s="1600">
        <v>3221900.0000000005</v>
      </c>
      <c r="H257" s="1600">
        <f t="shared" si="17"/>
        <v>64438000.000000007</v>
      </c>
      <c r="I257" s="1602">
        <v>20</v>
      </c>
      <c r="J257" s="1603">
        <v>3415214</v>
      </c>
      <c r="K257" s="1560">
        <f t="shared" si="15"/>
        <v>68304280</v>
      </c>
      <c r="L257" s="1560">
        <f t="shared" si="16"/>
        <v>193313.99999999953</v>
      </c>
      <c r="M257" s="1654" t="s">
        <v>3204</v>
      </c>
      <c r="N257" s="1654" t="s">
        <v>2977</v>
      </c>
    </row>
    <row r="258" spans="1:14" ht="18">
      <c r="A258" s="1488">
        <v>211</v>
      </c>
      <c r="B258" s="1653">
        <v>84</v>
      </c>
      <c r="C258" s="1598" t="s">
        <v>3307</v>
      </c>
      <c r="D258" s="1529" t="s">
        <v>1218</v>
      </c>
      <c r="E258" s="1655" t="s">
        <v>209</v>
      </c>
      <c r="F258" s="1600">
        <v>8</v>
      </c>
      <c r="G258" s="1600">
        <v>4923600</v>
      </c>
      <c r="H258" s="1600">
        <f t="shared" si="17"/>
        <v>39388800</v>
      </c>
      <c r="I258" s="1602">
        <v>8</v>
      </c>
      <c r="J258" s="1603">
        <v>5219016</v>
      </c>
      <c r="K258" s="1560">
        <f t="shared" si="15"/>
        <v>41752128</v>
      </c>
      <c r="L258" s="1560">
        <f t="shared" si="16"/>
        <v>295416</v>
      </c>
      <c r="M258" s="1654" t="s">
        <v>3204</v>
      </c>
      <c r="N258" s="1654" t="s">
        <v>2977</v>
      </c>
    </row>
    <row r="259" spans="1:14" ht="18">
      <c r="A259" s="1488">
        <v>212</v>
      </c>
      <c r="B259" s="1653">
        <v>85</v>
      </c>
      <c r="C259" s="1598" t="s">
        <v>3308</v>
      </c>
      <c r="D259" s="1529" t="s">
        <v>1218</v>
      </c>
      <c r="E259" s="1655" t="s">
        <v>209</v>
      </c>
      <c r="F259" s="1600">
        <v>1</v>
      </c>
      <c r="G259" s="1600">
        <v>15497900.000000002</v>
      </c>
      <c r="H259" s="1600">
        <f t="shared" si="17"/>
        <v>15497900.000000002</v>
      </c>
      <c r="I259" s="1602">
        <v>1</v>
      </c>
      <c r="J259" s="1603">
        <v>16427774.000000004</v>
      </c>
      <c r="K259" s="1560">
        <f t="shared" si="15"/>
        <v>16427774.000000004</v>
      </c>
      <c r="L259" s="1560">
        <f t="shared" si="16"/>
        <v>929874.00000000186</v>
      </c>
      <c r="M259" s="1654" t="s">
        <v>3204</v>
      </c>
      <c r="N259" s="1654" t="s">
        <v>2977</v>
      </c>
    </row>
    <row r="260" spans="1:14" ht="18">
      <c r="A260" s="1488">
        <v>213</v>
      </c>
      <c r="B260" s="1653">
        <v>86</v>
      </c>
      <c r="C260" s="1598" t="s">
        <v>3309</v>
      </c>
      <c r="D260" s="1529" t="s">
        <v>1218</v>
      </c>
      <c r="E260" s="1655" t="s">
        <v>209</v>
      </c>
      <c r="F260" s="1600">
        <v>1</v>
      </c>
      <c r="G260" s="1600">
        <v>19702100</v>
      </c>
      <c r="H260" s="1600">
        <f t="shared" si="17"/>
        <v>19702100</v>
      </c>
      <c r="I260" s="1602">
        <v>1</v>
      </c>
      <c r="J260" s="1603">
        <v>20884226</v>
      </c>
      <c r="K260" s="1560">
        <f t="shared" si="15"/>
        <v>20884226</v>
      </c>
      <c r="L260" s="1560">
        <f t="shared" si="16"/>
        <v>1182126</v>
      </c>
      <c r="M260" s="1654" t="s">
        <v>3204</v>
      </c>
      <c r="N260" s="1654" t="s">
        <v>2977</v>
      </c>
    </row>
    <row r="261" spans="1:14" ht="18">
      <c r="A261" s="1488">
        <v>214</v>
      </c>
      <c r="B261" s="1653">
        <v>87</v>
      </c>
      <c r="C261" s="1598" t="s">
        <v>3310</v>
      </c>
      <c r="D261" s="1529" t="s">
        <v>1218</v>
      </c>
      <c r="E261" s="1655" t="s">
        <v>209</v>
      </c>
      <c r="F261" s="1600">
        <v>3</v>
      </c>
      <c r="G261" s="1600">
        <v>6801300.0000000009</v>
      </c>
      <c r="H261" s="1600">
        <f t="shared" si="17"/>
        <v>20403900.000000004</v>
      </c>
      <c r="I261" s="1602">
        <v>3</v>
      </c>
      <c r="J261" s="1603">
        <v>7209378.0000000009</v>
      </c>
      <c r="K261" s="1560">
        <f t="shared" si="15"/>
        <v>21628134.000000004</v>
      </c>
      <c r="L261" s="1560">
        <f t="shared" si="16"/>
        <v>408078</v>
      </c>
      <c r="M261" s="1654" t="s">
        <v>3204</v>
      </c>
      <c r="N261" s="1654" t="s">
        <v>2977</v>
      </c>
    </row>
    <row r="262" spans="1:14" ht="18">
      <c r="A262" s="1488">
        <v>215</v>
      </c>
      <c r="B262" s="1653">
        <v>88</v>
      </c>
      <c r="C262" s="1598" t="s">
        <v>3311</v>
      </c>
      <c r="D262" s="1529" t="s">
        <v>1218</v>
      </c>
      <c r="E262" s="1655" t="s">
        <v>209</v>
      </c>
      <c r="F262" s="1600">
        <v>1</v>
      </c>
      <c r="G262" s="1600">
        <v>13454100.000000002</v>
      </c>
      <c r="H262" s="1600">
        <f t="shared" si="17"/>
        <v>13454100.000000002</v>
      </c>
      <c r="I262" s="1602">
        <v>1</v>
      </c>
      <c r="J262" s="1603">
        <v>14261346.000000002</v>
      </c>
      <c r="K262" s="1560">
        <f t="shared" si="15"/>
        <v>14261346.000000002</v>
      </c>
      <c r="L262" s="1560">
        <f t="shared" si="16"/>
        <v>807246</v>
      </c>
      <c r="M262" s="1654" t="s">
        <v>3204</v>
      </c>
      <c r="N262" s="1654" t="s">
        <v>2977</v>
      </c>
    </row>
    <row r="263" spans="1:14" ht="18">
      <c r="A263" s="1488">
        <v>216</v>
      </c>
      <c r="B263" s="1653">
        <v>89</v>
      </c>
      <c r="C263" s="1598" t="s">
        <v>3312</v>
      </c>
      <c r="D263" s="1529" t="s">
        <v>1218</v>
      </c>
      <c r="E263" s="1655" t="s">
        <v>209</v>
      </c>
      <c r="F263" s="1600">
        <v>1</v>
      </c>
      <c r="G263" s="1600">
        <v>9619500</v>
      </c>
      <c r="H263" s="1600">
        <f t="shared" si="17"/>
        <v>9619500</v>
      </c>
      <c r="I263" s="1602">
        <v>1</v>
      </c>
      <c r="J263" s="1603">
        <v>10196670</v>
      </c>
      <c r="K263" s="1560">
        <f t="shared" si="15"/>
        <v>10196670</v>
      </c>
      <c r="L263" s="1560">
        <f t="shared" si="16"/>
        <v>577170</v>
      </c>
      <c r="M263" s="1654" t="s">
        <v>3204</v>
      </c>
      <c r="N263" s="1654" t="s">
        <v>2977</v>
      </c>
    </row>
    <row r="264" spans="1:14" ht="18">
      <c r="A264" s="1488">
        <v>217</v>
      </c>
      <c r="B264" s="1653">
        <v>90</v>
      </c>
      <c r="C264" s="1656" t="s">
        <v>3212</v>
      </c>
      <c r="D264" s="1529" t="s">
        <v>3313</v>
      </c>
      <c r="E264" s="1655" t="s">
        <v>3073</v>
      </c>
      <c r="F264" s="1600">
        <v>15</v>
      </c>
      <c r="G264" s="1600">
        <v>6587700</v>
      </c>
      <c r="H264" s="1600">
        <f t="shared" si="17"/>
        <v>98815500</v>
      </c>
      <c r="I264" s="1602">
        <v>15</v>
      </c>
      <c r="J264" s="1603">
        <v>6846063</v>
      </c>
      <c r="K264" s="1560">
        <f t="shared" si="15"/>
        <v>102690945</v>
      </c>
      <c r="L264" s="1560">
        <f t="shared" si="16"/>
        <v>258363</v>
      </c>
      <c r="M264" s="1654" t="s">
        <v>3314</v>
      </c>
      <c r="N264" s="1654" t="s">
        <v>2977</v>
      </c>
    </row>
    <row r="265" spans="1:14">
      <c r="A265" s="1488">
        <v>218</v>
      </c>
      <c r="B265" s="1653">
        <v>91</v>
      </c>
      <c r="C265" s="1656" t="s">
        <v>3315</v>
      </c>
      <c r="D265" s="1529" t="s">
        <v>3316</v>
      </c>
      <c r="E265" s="1655" t="s">
        <v>3073</v>
      </c>
      <c r="F265" s="1600">
        <v>15</v>
      </c>
      <c r="G265" s="1600">
        <v>677250</v>
      </c>
      <c r="H265" s="1600">
        <f t="shared" si="17"/>
        <v>10158750</v>
      </c>
      <c r="I265" s="1602">
        <v>15</v>
      </c>
      <c r="J265" s="1603">
        <v>703416</v>
      </c>
      <c r="K265" s="1560">
        <f t="shared" si="15"/>
        <v>10551240</v>
      </c>
      <c r="L265" s="1560">
        <f t="shared" si="16"/>
        <v>26166</v>
      </c>
      <c r="M265" s="1654" t="s">
        <v>3314</v>
      </c>
      <c r="N265" s="1654" t="s">
        <v>2977</v>
      </c>
    </row>
    <row r="266" spans="1:14" ht="18">
      <c r="A266" s="1488">
        <v>219</v>
      </c>
      <c r="B266" s="1653">
        <v>92</v>
      </c>
      <c r="C266" s="1657" t="s">
        <v>3317</v>
      </c>
      <c r="D266" s="1529" t="s">
        <v>3318</v>
      </c>
      <c r="E266" s="1655" t="s">
        <v>3073</v>
      </c>
      <c r="F266" s="1600">
        <v>10</v>
      </c>
      <c r="G266" s="1600">
        <v>1023750</v>
      </c>
      <c r="H266" s="1600">
        <f t="shared" si="17"/>
        <v>10237500</v>
      </c>
      <c r="I266" s="1602">
        <v>10</v>
      </c>
      <c r="J266" s="1603">
        <v>1085175</v>
      </c>
      <c r="K266" s="1560">
        <f t="shared" si="15"/>
        <v>10851750</v>
      </c>
      <c r="L266" s="1560">
        <f t="shared" si="16"/>
        <v>61425</v>
      </c>
      <c r="M266" s="1654" t="s">
        <v>3319</v>
      </c>
      <c r="N266" s="1654" t="s">
        <v>2977</v>
      </c>
    </row>
    <row r="267" spans="1:14" ht="90">
      <c r="A267" s="1488">
        <v>220</v>
      </c>
      <c r="B267" s="1653">
        <v>93</v>
      </c>
      <c r="C267" s="1658" t="s">
        <v>3320</v>
      </c>
      <c r="D267" s="1659" t="s">
        <v>178</v>
      </c>
      <c r="E267" s="1659" t="s">
        <v>178</v>
      </c>
      <c r="F267" s="1600">
        <v>30</v>
      </c>
      <c r="G267" s="1600">
        <v>65273250</v>
      </c>
      <c r="H267" s="1600">
        <f t="shared" si="17"/>
        <v>1958197500</v>
      </c>
      <c r="I267" s="1602">
        <v>30</v>
      </c>
      <c r="J267" s="1603">
        <v>67832898</v>
      </c>
      <c r="K267" s="1560">
        <f t="shared" si="15"/>
        <v>2034986940</v>
      </c>
      <c r="L267" s="1560">
        <f t="shared" si="16"/>
        <v>2559648</v>
      </c>
      <c r="M267" s="1654" t="s">
        <v>3321</v>
      </c>
      <c r="N267" s="1654" t="s">
        <v>2977</v>
      </c>
    </row>
    <row r="268" spans="1:14">
      <c r="A268" s="1488">
        <v>221</v>
      </c>
      <c r="B268" s="1653">
        <v>94</v>
      </c>
      <c r="C268" s="1660" t="s">
        <v>3322</v>
      </c>
      <c r="D268" s="1529" t="s">
        <v>3323</v>
      </c>
      <c r="E268" s="1655" t="s">
        <v>3073</v>
      </c>
      <c r="F268" s="1600">
        <v>12</v>
      </c>
      <c r="G268" s="1600">
        <v>6760950</v>
      </c>
      <c r="H268" s="1600">
        <f t="shared" si="17"/>
        <v>81131400</v>
      </c>
      <c r="I268" s="1602">
        <v>12</v>
      </c>
      <c r="J268" s="1603">
        <v>7026369</v>
      </c>
      <c r="K268" s="1560">
        <f t="shared" si="15"/>
        <v>84316428</v>
      </c>
      <c r="L268" s="1560">
        <f t="shared" si="16"/>
        <v>265419</v>
      </c>
      <c r="M268" s="1654" t="s">
        <v>3321</v>
      </c>
      <c r="N268" s="1654" t="s">
        <v>2977</v>
      </c>
    </row>
    <row r="269" spans="1:14">
      <c r="A269" s="1488">
        <v>222</v>
      </c>
      <c r="B269" s="1653">
        <v>95</v>
      </c>
      <c r="C269" s="1660" t="s">
        <v>3324</v>
      </c>
      <c r="D269" s="1529" t="s">
        <v>3323</v>
      </c>
      <c r="E269" s="1655" t="s">
        <v>3073</v>
      </c>
      <c r="F269" s="1600">
        <v>8</v>
      </c>
      <c r="G269" s="1600">
        <v>6760950</v>
      </c>
      <c r="H269" s="1600">
        <f t="shared" si="17"/>
        <v>54087600</v>
      </c>
      <c r="I269" s="1602">
        <v>8</v>
      </c>
      <c r="J269" s="1603">
        <v>7026369</v>
      </c>
      <c r="K269" s="1560">
        <f t="shared" si="15"/>
        <v>56210952</v>
      </c>
      <c r="L269" s="1560">
        <f t="shared" si="16"/>
        <v>265419</v>
      </c>
      <c r="M269" s="1654" t="s">
        <v>3321</v>
      </c>
      <c r="N269" s="1654" t="s">
        <v>2977</v>
      </c>
    </row>
    <row r="270" spans="1:14">
      <c r="A270" s="1488">
        <v>223</v>
      </c>
      <c r="B270" s="1653">
        <v>96</v>
      </c>
      <c r="C270" s="1598" t="s">
        <v>3325</v>
      </c>
      <c r="D270" s="1529" t="s">
        <v>3326</v>
      </c>
      <c r="E270" s="1655" t="s">
        <v>3073</v>
      </c>
      <c r="F270" s="1600">
        <v>12</v>
      </c>
      <c r="G270" s="1600">
        <v>37899750</v>
      </c>
      <c r="H270" s="1600">
        <f t="shared" si="17"/>
        <v>454797000</v>
      </c>
      <c r="I270" s="1602">
        <v>12</v>
      </c>
      <c r="J270" s="1603">
        <v>40173735</v>
      </c>
      <c r="K270" s="1560">
        <f t="shared" si="15"/>
        <v>482084820</v>
      </c>
      <c r="L270" s="1560">
        <f t="shared" si="16"/>
        <v>2273985</v>
      </c>
      <c r="M270" s="1654" t="s">
        <v>3036</v>
      </c>
      <c r="N270" s="1654" t="s">
        <v>2977</v>
      </c>
    </row>
    <row r="271" spans="1:14">
      <c r="A271" s="1488">
        <v>224</v>
      </c>
      <c r="B271" s="1653">
        <v>97</v>
      </c>
      <c r="C271" s="1598" t="s">
        <v>3327</v>
      </c>
      <c r="D271" s="1529" t="s">
        <v>3328</v>
      </c>
      <c r="E271" s="1655" t="s">
        <v>3073</v>
      </c>
      <c r="F271" s="1600">
        <v>8</v>
      </c>
      <c r="G271" s="1600">
        <v>2829750</v>
      </c>
      <c r="H271" s="1600">
        <f t="shared" si="17"/>
        <v>22638000</v>
      </c>
      <c r="I271" s="1602">
        <v>8</v>
      </c>
      <c r="J271" s="1603">
        <v>2999535</v>
      </c>
      <c r="K271" s="1560">
        <f>I271*J271</f>
        <v>23996280</v>
      </c>
      <c r="L271" s="1560">
        <f t="shared" si="16"/>
        <v>169785</v>
      </c>
      <c r="M271" s="1654" t="s">
        <v>3036</v>
      </c>
      <c r="N271" s="1654" t="s">
        <v>2977</v>
      </c>
    </row>
    <row r="272" spans="1:14">
      <c r="A272" s="1488">
        <v>225</v>
      </c>
      <c r="B272" s="1653">
        <v>98</v>
      </c>
      <c r="C272" s="1598" t="s">
        <v>3329</v>
      </c>
      <c r="D272" s="1529" t="s">
        <v>3330</v>
      </c>
      <c r="E272" s="1655" t="s">
        <v>3073</v>
      </c>
      <c r="F272" s="1600">
        <v>8</v>
      </c>
      <c r="G272" s="1600">
        <v>3080700</v>
      </c>
      <c r="H272" s="1600">
        <f t="shared" si="17"/>
        <v>24645600</v>
      </c>
      <c r="I272" s="1602">
        <v>8</v>
      </c>
      <c r="J272" s="1603">
        <v>3265542</v>
      </c>
      <c r="K272" s="1560">
        <f>I272*J272</f>
        <v>26124336</v>
      </c>
      <c r="L272" s="1560">
        <f t="shared" si="16"/>
        <v>184842</v>
      </c>
      <c r="M272" s="1654" t="s">
        <v>3036</v>
      </c>
      <c r="N272" s="1654" t="s">
        <v>2977</v>
      </c>
    </row>
    <row r="273" spans="1:14" ht="36">
      <c r="A273" s="1488">
        <v>226</v>
      </c>
      <c r="B273" s="1653">
        <v>99</v>
      </c>
      <c r="C273" s="1598" t="s">
        <v>3331</v>
      </c>
      <c r="D273" s="1529" t="s">
        <v>3332</v>
      </c>
      <c r="E273" s="1655" t="s">
        <v>3073</v>
      </c>
      <c r="F273" s="1600">
        <v>10</v>
      </c>
      <c r="G273" s="1600">
        <v>2471700</v>
      </c>
      <c r="H273" s="1600">
        <f t="shared" si="17"/>
        <v>24717000</v>
      </c>
      <c r="I273" s="1602">
        <v>10</v>
      </c>
      <c r="J273" s="1603">
        <v>2473800</v>
      </c>
      <c r="K273" s="1560">
        <v>24738000</v>
      </c>
      <c r="L273" s="1560">
        <f t="shared" si="16"/>
        <v>2100</v>
      </c>
      <c r="M273" s="1654" t="s">
        <v>3333</v>
      </c>
      <c r="N273" s="1654" t="s">
        <v>2977</v>
      </c>
    </row>
    <row r="274" spans="1:14">
      <c r="A274" s="1488">
        <v>227</v>
      </c>
      <c r="B274" s="1653">
        <v>100</v>
      </c>
      <c r="C274" s="1598" t="s">
        <v>3334</v>
      </c>
      <c r="D274" s="1529" t="s">
        <v>3335</v>
      </c>
      <c r="E274" s="1655" t="s">
        <v>3073</v>
      </c>
      <c r="F274" s="1600">
        <v>5</v>
      </c>
      <c r="G274" s="1600">
        <v>7345800</v>
      </c>
      <c r="H274" s="1600">
        <f t="shared" si="17"/>
        <v>36729000</v>
      </c>
      <c r="I274" s="1602">
        <v>5</v>
      </c>
      <c r="J274" s="1603">
        <v>7350000</v>
      </c>
      <c r="K274" s="1560">
        <v>36750000</v>
      </c>
      <c r="L274" s="1560">
        <f t="shared" si="16"/>
        <v>4200</v>
      </c>
      <c r="M274" s="1654" t="s">
        <v>3333</v>
      </c>
      <c r="N274" s="1654" t="s">
        <v>2977</v>
      </c>
    </row>
    <row r="275" spans="1:14">
      <c r="A275" s="1488">
        <v>228</v>
      </c>
      <c r="B275" s="1653">
        <v>101</v>
      </c>
      <c r="C275" s="1598" t="s">
        <v>3336</v>
      </c>
      <c r="D275" s="1529" t="s">
        <v>3335</v>
      </c>
      <c r="E275" s="1655" t="s">
        <v>3073</v>
      </c>
      <c r="F275" s="1600">
        <v>5</v>
      </c>
      <c r="G275" s="1600">
        <v>7345800</v>
      </c>
      <c r="H275" s="1600">
        <f t="shared" si="17"/>
        <v>36729000</v>
      </c>
      <c r="I275" s="1602">
        <v>5</v>
      </c>
      <c r="J275" s="1603">
        <v>7350000</v>
      </c>
      <c r="K275" s="1560">
        <v>36750000</v>
      </c>
      <c r="L275" s="1560">
        <f t="shared" si="16"/>
        <v>4200</v>
      </c>
      <c r="M275" s="1654" t="s">
        <v>3333</v>
      </c>
      <c r="N275" s="1654" t="s">
        <v>2977</v>
      </c>
    </row>
    <row r="276" spans="1:14" ht="18">
      <c r="A276" s="1488">
        <v>229</v>
      </c>
      <c r="B276" s="1653">
        <v>102</v>
      </c>
      <c r="C276" s="1598" t="s">
        <v>3337</v>
      </c>
      <c r="D276" s="1529" t="s">
        <v>3338</v>
      </c>
      <c r="E276" s="1655" t="s">
        <v>3073</v>
      </c>
      <c r="F276" s="1600">
        <v>5</v>
      </c>
      <c r="G276" s="1600">
        <v>834750</v>
      </c>
      <c r="H276" s="1600">
        <f t="shared" si="17"/>
        <v>4173750</v>
      </c>
      <c r="I276" s="1602">
        <v>5</v>
      </c>
      <c r="J276" s="1603">
        <v>836000</v>
      </c>
      <c r="K276" s="1560">
        <v>4180000</v>
      </c>
      <c r="L276" s="1560">
        <f t="shared" si="16"/>
        <v>1250</v>
      </c>
      <c r="M276" s="1654" t="s">
        <v>3036</v>
      </c>
      <c r="N276" s="1654" t="s">
        <v>2977</v>
      </c>
    </row>
    <row r="277" spans="1:14" ht="27">
      <c r="A277" s="1488">
        <v>230</v>
      </c>
      <c r="B277" s="1653">
        <v>103</v>
      </c>
      <c r="C277" s="1598" t="s">
        <v>3337</v>
      </c>
      <c r="D277" s="1529" t="s">
        <v>3339</v>
      </c>
      <c r="E277" s="1655" t="s">
        <v>3073</v>
      </c>
      <c r="F277" s="1600">
        <v>5</v>
      </c>
      <c r="G277" s="1600">
        <v>1516200</v>
      </c>
      <c r="H277" s="1600">
        <f t="shared" si="17"/>
        <v>7581000</v>
      </c>
      <c r="I277" s="1602">
        <v>5</v>
      </c>
      <c r="J277" s="1603">
        <v>1518000</v>
      </c>
      <c r="K277" s="1560">
        <v>7590000</v>
      </c>
      <c r="L277" s="1560">
        <f t="shared" si="16"/>
        <v>1800</v>
      </c>
      <c r="M277" s="1654" t="s">
        <v>3036</v>
      </c>
      <c r="N277" s="1654" t="s">
        <v>2977</v>
      </c>
    </row>
    <row r="278" spans="1:14" ht="18">
      <c r="A278" s="1488">
        <v>231</v>
      </c>
      <c r="B278" s="1653">
        <v>104</v>
      </c>
      <c r="C278" s="1598" t="s">
        <v>3340</v>
      </c>
      <c r="D278" s="1529" t="s">
        <v>3341</v>
      </c>
      <c r="E278" s="1655" t="s">
        <v>3073</v>
      </c>
      <c r="F278" s="1600">
        <v>8</v>
      </c>
      <c r="G278" s="1600">
        <v>5882100</v>
      </c>
      <c r="H278" s="1600">
        <f t="shared" si="17"/>
        <v>47056800</v>
      </c>
      <c r="I278" s="1531">
        <v>8</v>
      </c>
      <c r="J278" s="1603">
        <v>5885400</v>
      </c>
      <c r="K278" s="1560">
        <v>47083200</v>
      </c>
      <c r="L278" s="1560">
        <f t="shared" si="16"/>
        <v>3300</v>
      </c>
      <c r="M278" s="1654" t="s">
        <v>3342</v>
      </c>
      <c r="N278" s="1654" t="s">
        <v>2977</v>
      </c>
    </row>
    <row r="279" spans="1:14" ht="18">
      <c r="A279" s="1488">
        <v>232</v>
      </c>
      <c r="B279" s="1653">
        <v>105</v>
      </c>
      <c r="C279" s="1598" t="s">
        <v>3343</v>
      </c>
      <c r="D279" s="1529" t="s">
        <v>3344</v>
      </c>
      <c r="E279" s="1655" t="s">
        <v>2055</v>
      </c>
      <c r="F279" s="1600">
        <v>12</v>
      </c>
      <c r="G279" s="1600">
        <v>455700</v>
      </c>
      <c r="H279" s="1600">
        <f t="shared" si="17"/>
        <v>5468400</v>
      </c>
      <c r="I279" s="1531">
        <v>12</v>
      </c>
      <c r="J279" s="1603">
        <v>455940</v>
      </c>
      <c r="K279" s="1560">
        <v>5471280</v>
      </c>
      <c r="L279" s="1560">
        <f t="shared" si="16"/>
        <v>240</v>
      </c>
      <c r="M279" s="1654" t="s">
        <v>3342</v>
      </c>
      <c r="N279" s="1654" t="s">
        <v>2977</v>
      </c>
    </row>
    <row r="280" spans="1:14" ht="27">
      <c r="A280" s="1488">
        <v>233</v>
      </c>
      <c r="B280" s="1653">
        <v>106</v>
      </c>
      <c r="C280" s="1598" t="s">
        <v>3345</v>
      </c>
      <c r="D280" s="1529" t="s">
        <v>3346</v>
      </c>
      <c r="E280" s="1655" t="s">
        <v>435</v>
      </c>
      <c r="F280" s="1600">
        <v>8</v>
      </c>
      <c r="G280" s="1600">
        <v>4980150</v>
      </c>
      <c r="H280" s="1600">
        <f t="shared" si="17"/>
        <v>39841200</v>
      </c>
      <c r="I280" s="1531">
        <v>8</v>
      </c>
      <c r="J280" s="1603">
        <v>4982700</v>
      </c>
      <c r="K280" s="1560">
        <v>39861600</v>
      </c>
      <c r="L280" s="1560">
        <f t="shared" si="16"/>
        <v>2550</v>
      </c>
      <c r="M280" s="1654" t="s">
        <v>3036</v>
      </c>
      <c r="N280" s="1654" t="s">
        <v>2977</v>
      </c>
    </row>
    <row r="281" spans="1:14" ht="18">
      <c r="A281" s="1488">
        <v>234</v>
      </c>
      <c r="B281" s="1653">
        <v>107</v>
      </c>
      <c r="C281" s="1598" t="s">
        <v>3345</v>
      </c>
      <c r="D281" s="1529" t="s">
        <v>3347</v>
      </c>
      <c r="E281" s="1655" t="s">
        <v>435</v>
      </c>
      <c r="F281" s="1600">
        <v>8</v>
      </c>
      <c r="G281" s="1600">
        <v>9563400</v>
      </c>
      <c r="H281" s="1600">
        <f t="shared" si="17"/>
        <v>76507200</v>
      </c>
      <c r="I281" s="1531">
        <v>8</v>
      </c>
      <c r="J281" s="1603">
        <v>9568620</v>
      </c>
      <c r="K281" s="1560">
        <v>76548960</v>
      </c>
      <c r="L281" s="1560">
        <f t="shared" si="16"/>
        <v>5220</v>
      </c>
      <c r="M281" s="1654" t="s">
        <v>3036</v>
      </c>
      <c r="N281" s="1654" t="s">
        <v>2977</v>
      </c>
    </row>
    <row r="282" spans="1:14">
      <c r="A282" s="1488">
        <v>235</v>
      </c>
      <c r="B282" s="1653">
        <v>108</v>
      </c>
      <c r="C282" s="1598" t="s">
        <v>3348</v>
      </c>
      <c r="D282" s="1529" t="s">
        <v>3208</v>
      </c>
      <c r="E282" s="1655" t="s">
        <v>435</v>
      </c>
      <c r="F282" s="1600">
        <v>4</v>
      </c>
      <c r="G282" s="1600">
        <v>16089150</v>
      </c>
      <c r="H282" s="1600">
        <f t="shared" si="17"/>
        <v>64356600</v>
      </c>
      <c r="I282" s="1531">
        <v>4</v>
      </c>
      <c r="J282" s="1603">
        <v>16097640</v>
      </c>
      <c r="K282" s="1560">
        <v>64390560</v>
      </c>
      <c r="L282" s="1560">
        <f t="shared" si="16"/>
        <v>8490</v>
      </c>
      <c r="M282" s="1654" t="s">
        <v>3036</v>
      </c>
      <c r="N282" s="1654" t="s">
        <v>2977</v>
      </c>
    </row>
    <row r="283" spans="1:14">
      <c r="A283" s="1488">
        <v>236</v>
      </c>
      <c r="B283" s="1653">
        <v>109</v>
      </c>
      <c r="C283" s="1598" t="s">
        <v>3349</v>
      </c>
      <c r="D283" s="1529" t="s">
        <v>3195</v>
      </c>
      <c r="E283" s="1655" t="s">
        <v>435</v>
      </c>
      <c r="F283" s="1600">
        <v>4</v>
      </c>
      <c r="G283" s="1600">
        <v>3608850</v>
      </c>
      <c r="H283" s="1600">
        <f t="shared" si="17"/>
        <v>14435400</v>
      </c>
      <c r="I283" s="1531">
        <v>4</v>
      </c>
      <c r="J283" s="1603">
        <v>3610800</v>
      </c>
      <c r="K283" s="1560">
        <v>14443200</v>
      </c>
      <c r="L283" s="1560">
        <f t="shared" si="16"/>
        <v>1950</v>
      </c>
      <c r="M283" s="1654" t="s">
        <v>3036</v>
      </c>
      <c r="N283" s="1654" t="s">
        <v>2977</v>
      </c>
    </row>
    <row r="284" spans="1:14">
      <c r="A284" s="1574">
        <v>237</v>
      </c>
      <c r="B284" s="1661">
        <v>110</v>
      </c>
      <c r="C284" s="1662" t="s">
        <v>3350</v>
      </c>
      <c r="D284" s="1543" t="s">
        <v>3351</v>
      </c>
      <c r="E284" s="1663" t="s">
        <v>435</v>
      </c>
      <c r="F284" s="1664">
        <v>3</v>
      </c>
      <c r="G284" s="1664">
        <v>10911600</v>
      </c>
      <c r="H284" s="1664">
        <f t="shared" si="17"/>
        <v>32734800</v>
      </c>
      <c r="I284" s="1533">
        <v>3</v>
      </c>
      <c r="J284" s="1665">
        <v>10917060</v>
      </c>
      <c r="K284" s="1630">
        <v>32751180</v>
      </c>
      <c r="L284" s="1630">
        <f t="shared" si="16"/>
        <v>5460</v>
      </c>
      <c r="M284" s="1666" t="s">
        <v>3036</v>
      </c>
      <c r="N284" s="1666" t="s">
        <v>2977</v>
      </c>
    </row>
    <row r="285" spans="1:14" ht="15.75">
      <c r="A285" s="1501"/>
      <c r="B285" s="1546"/>
      <c r="C285" s="1535" t="s">
        <v>958</v>
      </c>
      <c r="D285" s="1546"/>
      <c r="E285" s="1546"/>
      <c r="F285" s="1583"/>
      <c r="G285" s="1583"/>
      <c r="H285" s="1507">
        <f>SUM(H175:H284)</f>
        <v>22566271460</v>
      </c>
      <c r="I285" s="1667"/>
      <c r="J285" s="1584"/>
      <c r="K285" s="1507">
        <f>SUM(K175:K284)</f>
        <v>23463138335</v>
      </c>
      <c r="L285" s="1668"/>
      <c r="M285" s="1669"/>
      <c r="N285" s="1511"/>
    </row>
    <row r="286" spans="1:14">
      <c r="A286" s="1512"/>
      <c r="B286" s="1550"/>
      <c r="C286" s="1514"/>
      <c r="D286" s="1550"/>
      <c r="E286" s="1550"/>
      <c r="F286" s="1585"/>
      <c r="G286" s="1585"/>
      <c r="H286" s="1585"/>
      <c r="I286" s="1643"/>
      <c r="J286" s="1586"/>
      <c r="K286" s="1518"/>
      <c r="L286" s="1518"/>
    </row>
    <row r="287" spans="1:14">
      <c r="A287" s="1512"/>
      <c r="B287" s="1550"/>
      <c r="C287" s="1514"/>
      <c r="D287" s="1550"/>
      <c r="E287" s="1550"/>
      <c r="F287" s="1585"/>
      <c r="G287" s="1585"/>
      <c r="H287" s="1585"/>
      <c r="I287" s="1643"/>
      <c r="J287" s="1586"/>
      <c r="K287" s="1518"/>
      <c r="L287" s="1518"/>
    </row>
    <row r="288" spans="1:14">
      <c r="A288" s="1512"/>
      <c r="B288" s="1550"/>
      <c r="C288" s="1514"/>
      <c r="D288" s="1550"/>
      <c r="E288" s="1550"/>
      <c r="F288" s="1585"/>
      <c r="G288" s="1585"/>
      <c r="H288" s="1585"/>
      <c r="I288" s="1643"/>
      <c r="J288" s="1586"/>
      <c r="K288" s="1518"/>
      <c r="L288" s="1518"/>
    </row>
    <row r="289" spans="1:14">
      <c r="A289" s="2196" t="s">
        <v>3352</v>
      </c>
      <c r="B289" s="2196"/>
      <c r="C289" s="2196"/>
      <c r="D289" s="2196"/>
      <c r="E289" s="2196"/>
      <c r="F289" s="2196"/>
      <c r="G289" s="2196"/>
      <c r="H289" s="2196"/>
      <c r="I289" s="2196"/>
      <c r="J289" s="2196"/>
      <c r="K289" s="2196"/>
      <c r="L289" s="1475"/>
    </row>
    <row r="290" spans="1:14">
      <c r="B290" s="1515"/>
      <c r="C290" s="1588"/>
      <c r="D290" s="1515"/>
      <c r="E290" s="1515"/>
      <c r="F290" s="1589"/>
      <c r="G290" s="1589"/>
      <c r="H290" s="1589"/>
    </row>
    <row r="291" spans="1:14" ht="27">
      <c r="A291" s="2197" t="s">
        <v>2901</v>
      </c>
      <c r="B291" s="2199" t="s">
        <v>2902</v>
      </c>
      <c r="C291" s="2201" t="s">
        <v>2607</v>
      </c>
      <c r="D291" s="2203" t="s">
        <v>2608</v>
      </c>
      <c r="E291" s="2199" t="s">
        <v>2609</v>
      </c>
      <c r="F291" s="2205" t="s">
        <v>2903</v>
      </c>
      <c r="G291" s="2206"/>
      <c r="H291" s="2207"/>
      <c r="I291" s="2205" t="s">
        <v>2904</v>
      </c>
      <c r="J291" s="2206"/>
      <c r="K291" s="2207"/>
      <c r="L291" s="1476" t="s">
        <v>2905</v>
      </c>
      <c r="M291" s="2197" t="s">
        <v>2906</v>
      </c>
      <c r="N291" s="2208" t="s">
        <v>2907</v>
      </c>
    </row>
    <row r="292" spans="1:14">
      <c r="A292" s="2198"/>
      <c r="B292" s="2200"/>
      <c r="C292" s="2210"/>
      <c r="D292" s="2211"/>
      <c r="E292" s="2215"/>
      <c r="F292" s="1670" t="s">
        <v>2908</v>
      </c>
      <c r="G292" s="1671" t="s">
        <v>2611</v>
      </c>
      <c r="H292" s="1671" t="s">
        <v>2612</v>
      </c>
      <c r="I292" s="1670" t="s">
        <v>2908</v>
      </c>
      <c r="J292" s="1671" t="s">
        <v>2611</v>
      </c>
      <c r="K292" s="1671" t="s">
        <v>2612</v>
      </c>
      <c r="L292" s="1672"/>
      <c r="M292" s="2198"/>
      <c r="N292" s="2209"/>
    </row>
    <row r="293" spans="1:14">
      <c r="A293" s="1673">
        <v>238</v>
      </c>
      <c r="B293" s="1674">
        <v>1</v>
      </c>
      <c r="C293" s="1675" t="s">
        <v>3353</v>
      </c>
      <c r="D293" s="1676" t="s">
        <v>3035</v>
      </c>
      <c r="E293" s="1675" t="s">
        <v>3073</v>
      </c>
      <c r="F293" s="1525">
        <v>10</v>
      </c>
      <c r="G293" s="1525">
        <v>3682000</v>
      </c>
      <c r="H293" s="1525">
        <f>F293*G293</f>
        <v>36820000</v>
      </c>
      <c r="I293" s="1525">
        <v>10</v>
      </c>
      <c r="J293" s="1596">
        <v>3866100</v>
      </c>
      <c r="K293" s="1596">
        <f t="shared" ref="K293:K328" si="18">I293*J293</f>
        <v>38661000</v>
      </c>
      <c r="L293" s="1652">
        <f t="shared" ref="L293:L347" si="19">J293-G293</f>
        <v>184100</v>
      </c>
      <c r="M293" s="1675" t="s">
        <v>3354</v>
      </c>
      <c r="N293" s="1675" t="s">
        <v>3355</v>
      </c>
    </row>
    <row r="294" spans="1:14">
      <c r="A294" s="1487">
        <v>239</v>
      </c>
      <c r="B294" s="1677">
        <v>2</v>
      </c>
      <c r="C294" s="1658" t="s">
        <v>3356</v>
      </c>
      <c r="D294" s="1678" t="s">
        <v>3035</v>
      </c>
      <c r="E294" s="1658" t="s">
        <v>3073</v>
      </c>
      <c r="F294" s="1532">
        <v>10</v>
      </c>
      <c r="G294" s="1532">
        <v>3210000</v>
      </c>
      <c r="H294" s="1532">
        <f t="shared" ref="H294:H347" si="20">F294*G294</f>
        <v>32100000</v>
      </c>
      <c r="I294" s="1532">
        <v>10</v>
      </c>
      <c r="J294" s="1562">
        <v>3370500</v>
      </c>
      <c r="K294" s="1562">
        <f t="shared" si="18"/>
        <v>33705000</v>
      </c>
      <c r="L294" s="1560">
        <f t="shared" si="19"/>
        <v>160500</v>
      </c>
      <c r="M294" s="1658" t="s">
        <v>3354</v>
      </c>
      <c r="N294" s="1658" t="s">
        <v>3355</v>
      </c>
    </row>
    <row r="295" spans="1:14">
      <c r="A295" s="1487">
        <v>240</v>
      </c>
      <c r="B295" s="1677">
        <v>3</v>
      </c>
      <c r="C295" s="1658" t="s">
        <v>3357</v>
      </c>
      <c r="D295" s="1678" t="s">
        <v>3035</v>
      </c>
      <c r="E295" s="1658" t="s">
        <v>3073</v>
      </c>
      <c r="F295" s="1532">
        <v>10</v>
      </c>
      <c r="G295" s="1532">
        <v>3682000</v>
      </c>
      <c r="H295" s="1532">
        <f t="shared" si="20"/>
        <v>36820000</v>
      </c>
      <c r="I295" s="1532">
        <v>10</v>
      </c>
      <c r="J295" s="1562">
        <v>3866100</v>
      </c>
      <c r="K295" s="1562">
        <f t="shared" si="18"/>
        <v>38661000</v>
      </c>
      <c r="L295" s="1560">
        <f t="shared" si="19"/>
        <v>184100</v>
      </c>
      <c r="M295" s="1658" t="s">
        <v>3354</v>
      </c>
      <c r="N295" s="1658" t="s">
        <v>3355</v>
      </c>
    </row>
    <row r="296" spans="1:14">
      <c r="A296" s="1487">
        <v>241</v>
      </c>
      <c r="B296" s="1677">
        <v>4</v>
      </c>
      <c r="C296" s="1658" t="s">
        <v>3358</v>
      </c>
      <c r="D296" s="1678" t="s">
        <v>3359</v>
      </c>
      <c r="E296" s="1658" t="s">
        <v>3073</v>
      </c>
      <c r="F296" s="1532">
        <v>2</v>
      </c>
      <c r="G296" s="1532">
        <v>680000</v>
      </c>
      <c r="H296" s="1532">
        <f t="shared" si="20"/>
        <v>1360000</v>
      </c>
      <c r="I296" s="1532">
        <v>2</v>
      </c>
      <c r="J296" s="1562">
        <v>714000</v>
      </c>
      <c r="K296" s="1562">
        <f t="shared" si="18"/>
        <v>1428000</v>
      </c>
      <c r="L296" s="1560">
        <f t="shared" si="19"/>
        <v>34000</v>
      </c>
      <c r="M296" s="1658" t="s">
        <v>3354</v>
      </c>
      <c r="N296" s="1658" t="s">
        <v>3355</v>
      </c>
    </row>
    <row r="297" spans="1:14">
      <c r="A297" s="1487">
        <v>242</v>
      </c>
      <c r="B297" s="1677">
        <v>5</v>
      </c>
      <c r="C297" s="1658" t="s">
        <v>3360</v>
      </c>
      <c r="D297" s="1678" t="s">
        <v>3361</v>
      </c>
      <c r="E297" s="1658" t="s">
        <v>3073</v>
      </c>
      <c r="F297" s="1532">
        <v>6</v>
      </c>
      <c r="G297" s="1532">
        <v>1840000</v>
      </c>
      <c r="H297" s="1532">
        <f t="shared" si="20"/>
        <v>11040000</v>
      </c>
      <c r="I297" s="1532">
        <v>6</v>
      </c>
      <c r="J297" s="1562">
        <v>1932000</v>
      </c>
      <c r="K297" s="1562">
        <f t="shared" si="18"/>
        <v>11592000</v>
      </c>
      <c r="L297" s="1560">
        <f t="shared" si="19"/>
        <v>92000</v>
      </c>
      <c r="M297" s="1658" t="s">
        <v>3354</v>
      </c>
      <c r="N297" s="1658" t="s">
        <v>3355</v>
      </c>
    </row>
    <row r="298" spans="1:14">
      <c r="A298" s="1487">
        <v>243</v>
      </c>
      <c r="B298" s="1677">
        <v>6</v>
      </c>
      <c r="C298" s="1658" t="s">
        <v>3362</v>
      </c>
      <c r="D298" s="1678" t="s">
        <v>3363</v>
      </c>
      <c r="E298" s="1658" t="s">
        <v>3073</v>
      </c>
      <c r="F298" s="1532">
        <v>4</v>
      </c>
      <c r="G298" s="1532">
        <v>7895000</v>
      </c>
      <c r="H298" s="1532">
        <f t="shared" si="20"/>
        <v>31580000</v>
      </c>
      <c r="I298" s="1532">
        <v>4</v>
      </c>
      <c r="J298" s="1562">
        <v>8289750</v>
      </c>
      <c r="K298" s="1562">
        <f t="shared" si="18"/>
        <v>33159000</v>
      </c>
      <c r="L298" s="1560">
        <f t="shared" si="19"/>
        <v>394750</v>
      </c>
      <c r="M298" s="1658" t="s">
        <v>3354</v>
      </c>
      <c r="N298" s="1658" t="s">
        <v>3355</v>
      </c>
    </row>
    <row r="299" spans="1:14">
      <c r="A299" s="1487">
        <v>244</v>
      </c>
      <c r="B299" s="1677">
        <v>7</v>
      </c>
      <c r="C299" s="1658" t="s">
        <v>3364</v>
      </c>
      <c r="D299" s="1678" t="s">
        <v>3365</v>
      </c>
      <c r="E299" s="1658" t="s">
        <v>3073</v>
      </c>
      <c r="F299" s="1532">
        <v>5</v>
      </c>
      <c r="G299" s="1532">
        <v>2646000</v>
      </c>
      <c r="H299" s="1532">
        <f t="shared" si="20"/>
        <v>13230000</v>
      </c>
      <c r="I299" s="1532">
        <v>5</v>
      </c>
      <c r="J299" s="1562">
        <v>2778300</v>
      </c>
      <c r="K299" s="1562">
        <f t="shared" si="18"/>
        <v>13891500</v>
      </c>
      <c r="L299" s="1560">
        <f t="shared" si="19"/>
        <v>132300</v>
      </c>
      <c r="M299" s="1658" t="s">
        <v>3333</v>
      </c>
      <c r="N299" s="1658" t="s">
        <v>3355</v>
      </c>
    </row>
    <row r="300" spans="1:14">
      <c r="A300" s="1487">
        <v>245</v>
      </c>
      <c r="B300" s="1677">
        <v>8</v>
      </c>
      <c r="C300" s="1658" t="s">
        <v>3366</v>
      </c>
      <c r="D300" s="1678" t="s">
        <v>3365</v>
      </c>
      <c r="E300" s="1658" t="s">
        <v>3073</v>
      </c>
      <c r="F300" s="1532">
        <v>20</v>
      </c>
      <c r="G300" s="1532">
        <v>2646000</v>
      </c>
      <c r="H300" s="1532">
        <f t="shared" si="20"/>
        <v>52920000</v>
      </c>
      <c r="I300" s="1532">
        <v>20</v>
      </c>
      <c r="J300" s="1562">
        <v>2778300</v>
      </c>
      <c r="K300" s="1562">
        <f t="shared" si="18"/>
        <v>55566000</v>
      </c>
      <c r="L300" s="1560">
        <f t="shared" si="19"/>
        <v>132300</v>
      </c>
      <c r="M300" s="1658" t="s">
        <v>3333</v>
      </c>
      <c r="N300" s="1658" t="s">
        <v>3355</v>
      </c>
    </row>
    <row r="301" spans="1:14">
      <c r="A301" s="1487">
        <v>246</v>
      </c>
      <c r="B301" s="1677">
        <v>9</v>
      </c>
      <c r="C301" s="1658" t="s">
        <v>3367</v>
      </c>
      <c r="D301" s="1678" t="s">
        <v>3365</v>
      </c>
      <c r="E301" s="1658" t="s">
        <v>3073</v>
      </c>
      <c r="F301" s="1532">
        <v>5</v>
      </c>
      <c r="G301" s="1532">
        <v>2646000</v>
      </c>
      <c r="H301" s="1532">
        <f t="shared" si="20"/>
        <v>13230000</v>
      </c>
      <c r="I301" s="1532">
        <v>5</v>
      </c>
      <c r="J301" s="1562">
        <v>2778300</v>
      </c>
      <c r="K301" s="1562">
        <f t="shared" si="18"/>
        <v>13891500</v>
      </c>
      <c r="L301" s="1560">
        <f t="shared" si="19"/>
        <v>132300</v>
      </c>
      <c r="M301" s="1658" t="s">
        <v>3333</v>
      </c>
      <c r="N301" s="1658" t="s">
        <v>3355</v>
      </c>
    </row>
    <row r="302" spans="1:14">
      <c r="A302" s="1487">
        <v>247</v>
      </c>
      <c r="B302" s="1677">
        <v>10</v>
      </c>
      <c r="C302" s="1658" t="s">
        <v>3368</v>
      </c>
      <c r="D302" s="1678" t="s">
        <v>3369</v>
      </c>
      <c r="E302" s="1658" t="s">
        <v>3073</v>
      </c>
      <c r="F302" s="1532">
        <v>3</v>
      </c>
      <c r="G302" s="1532">
        <v>5096000</v>
      </c>
      <c r="H302" s="1532">
        <f t="shared" si="20"/>
        <v>15288000</v>
      </c>
      <c r="I302" s="1532">
        <v>3</v>
      </c>
      <c r="J302" s="1562">
        <v>5350800</v>
      </c>
      <c r="K302" s="1562">
        <f t="shared" si="18"/>
        <v>16052400</v>
      </c>
      <c r="L302" s="1560">
        <f t="shared" si="19"/>
        <v>254800</v>
      </c>
      <c r="M302" s="1658" t="s">
        <v>3333</v>
      </c>
      <c r="N302" s="1658" t="s">
        <v>3355</v>
      </c>
    </row>
    <row r="303" spans="1:14">
      <c r="A303" s="1487">
        <v>248</v>
      </c>
      <c r="B303" s="1677">
        <v>11</v>
      </c>
      <c r="C303" s="1658" t="s">
        <v>3370</v>
      </c>
      <c r="D303" s="1678" t="s">
        <v>3369</v>
      </c>
      <c r="E303" s="1658" t="s">
        <v>3073</v>
      </c>
      <c r="F303" s="1532">
        <v>3</v>
      </c>
      <c r="G303" s="1532">
        <v>5096000</v>
      </c>
      <c r="H303" s="1532">
        <f t="shared" si="20"/>
        <v>15288000</v>
      </c>
      <c r="I303" s="1532">
        <v>3</v>
      </c>
      <c r="J303" s="1562">
        <v>5350800</v>
      </c>
      <c r="K303" s="1562">
        <f t="shared" si="18"/>
        <v>16052400</v>
      </c>
      <c r="L303" s="1560">
        <f t="shared" si="19"/>
        <v>254800</v>
      </c>
      <c r="M303" s="1658" t="s">
        <v>3333</v>
      </c>
      <c r="N303" s="1658" t="s">
        <v>3355</v>
      </c>
    </row>
    <row r="304" spans="1:14">
      <c r="A304" s="1487">
        <v>249</v>
      </c>
      <c r="B304" s="1677">
        <v>12</v>
      </c>
      <c r="C304" s="1658" t="s">
        <v>3371</v>
      </c>
      <c r="D304" s="1678" t="s">
        <v>3079</v>
      </c>
      <c r="E304" s="1658" t="s">
        <v>3073</v>
      </c>
      <c r="F304" s="1532">
        <v>3</v>
      </c>
      <c r="G304" s="1532">
        <v>10444000</v>
      </c>
      <c r="H304" s="1532">
        <f t="shared" si="20"/>
        <v>31332000</v>
      </c>
      <c r="I304" s="1532">
        <v>3</v>
      </c>
      <c r="J304" s="1562">
        <v>10966200</v>
      </c>
      <c r="K304" s="1562">
        <f t="shared" si="18"/>
        <v>32898600</v>
      </c>
      <c r="L304" s="1560">
        <f t="shared" si="19"/>
        <v>522200</v>
      </c>
      <c r="M304" s="1658" t="s">
        <v>3354</v>
      </c>
      <c r="N304" s="1658" t="s">
        <v>3355</v>
      </c>
    </row>
    <row r="305" spans="1:14">
      <c r="A305" s="1487">
        <v>250</v>
      </c>
      <c r="B305" s="1677">
        <v>13</v>
      </c>
      <c r="C305" s="1658" t="s">
        <v>3372</v>
      </c>
      <c r="D305" s="1678" t="s">
        <v>3079</v>
      </c>
      <c r="E305" s="1658" t="s">
        <v>3073</v>
      </c>
      <c r="F305" s="1532">
        <v>1</v>
      </c>
      <c r="G305" s="1532">
        <v>13140000</v>
      </c>
      <c r="H305" s="1532">
        <f t="shared" si="20"/>
        <v>13140000</v>
      </c>
      <c r="I305" s="1532">
        <v>1</v>
      </c>
      <c r="J305" s="1562">
        <v>13797000</v>
      </c>
      <c r="K305" s="1562">
        <f t="shared" si="18"/>
        <v>13797000</v>
      </c>
      <c r="L305" s="1560">
        <f t="shared" si="19"/>
        <v>657000</v>
      </c>
      <c r="M305" s="1658" t="s">
        <v>3354</v>
      </c>
      <c r="N305" s="1658" t="s">
        <v>3355</v>
      </c>
    </row>
    <row r="306" spans="1:14">
      <c r="A306" s="1487">
        <v>251</v>
      </c>
      <c r="B306" s="1677">
        <v>14</v>
      </c>
      <c r="C306" s="1658" t="s">
        <v>3373</v>
      </c>
      <c r="D306" s="1678" t="s">
        <v>3079</v>
      </c>
      <c r="E306" s="1658" t="s">
        <v>3073</v>
      </c>
      <c r="F306" s="1532">
        <v>9</v>
      </c>
      <c r="G306" s="1532">
        <v>13140000</v>
      </c>
      <c r="H306" s="1532">
        <f t="shared" si="20"/>
        <v>118260000</v>
      </c>
      <c r="I306" s="1532">
        <v>9</v>
      </c>
      <c r="J306" s="1562">
        <v>13797000</v>
      </c>
      <c r="K306" s="1562">
        <f t="shared" si="18"/>
        <v>124173000</v>
      </c>
      <c r="L306" s="1560">
        <f t="shared" si="19"/>
        <v>657000</v>
      </c>
      <c r="M306" s="1658" t="s">
        <v>3354</v>
      </c>
      <c r="N306" s="1658" t="s">
        <v>3355</v>
      </c>
    </row>
    <row r="307" spans="1:14">
      <c r="A307" s="1487">
        <v>252</v>
      </c>
      <c r="B307" s="1677">
        <v>15</v>
      </c>
      <c r="C307" s="1658" t="s">
        <v>3374</v>
      </c>
      <c r="D307" s="1678" t="s">
        <v>3079</v>
      </c>
      <c r="E307" s="1658" t="s">
        <v>3073</v>
      </c>
      <c r="F307" s="1532">
        <v>3</v>
      </c>
      <c r="G307" s="1532">
        <v>11496000</v>
      </c>
      <c r="H307" s="1532">
        <f t="shared" si="20"/>
        <v>34488000</v>
      </c>
      <c r="I307" s="1532">
        <v>3</v>
      </c>
      <c r="J307" s="1562">
        <v>12070800</v>
      </c>
      <c r="K307" s="1562">
        <f t="shared" si="18"/>
        <v>36212400</v>
      </c>
      <c r="L307" s="1560">
        <f t="shared" si="19"/>
        <v>574800</v>
      </c>
      <c r="M307" s="1658" t="s">
        <v>3354</v>
      </c>
      <c r="N307" s="1658" t="s">
        <v>3355</v>
      </c>
    </row>
    <row r="308" spans="1:14">
      <c r="A308" s="1487">
        <v>253</v>
      </c>
      <c r="B308" s="1677">
        <v>16</v>
      </c>
      <c r="C308" s="1658" t="s">
        <v>3375</v>
      </c>
      <c r="D308" s="1678" t="s">
        <v>3079</v>
      </c>
      <c r="E308" s="1658" t="s">
        <v>3073</v>
      </c>
      <c r="F308" s="1532">
        <v>4</v>
      </c>
      <c r="G308" s="1532">
        <v>13664000</v>
      </c>
      <c r="H308" s="1532">
        <f t="shared" si="20"/>
        <v>54656000</v>
      </c>
      <c r="I308" s="1532">
        <v>4</v>
      </c>
      <c r="J308" s="1562">
        <v>14347200</v>
      </c>
      <c r="K308" s="1562">
        <f t="shared" si="18"/>
        <v>57388800</v>
      </c>
      <c r="L308" s="1560">
        <f t="shared" si="19"/>
        <v>683200</v>
      </c>
      <c r="M308" s="1658" t="s">
        <v>3354</v>
      </c>
      <c r="N308" s="1658" t="s">
        <v>3355</v>
      </c>
    </row>
    <row r="309" spans="1:14">
      <c r="A309" s="1487">
        <v>254</v>
      </c>
      <c r="B309" s="1677">
        <v>17</v>
      </c>
      <c r="C309" s="1658" t="s">
        <v>3376</v>
      </c>
      <c r="D309" s="1678" t="s">
        <v>3079</v>
      </c>
      <c r="E309" s="1658" t="s">
        <v>3073</v>
      </c>
      <c r="F309" s="1532">
        <v>3</v>
      </c>
      <c r="G309" s="1532">
        <v>11496000</v>
      </c>
      <c r="H309" s="1532">
        <f t="shared" si="20"/>
        <v>34488000</v>
      </c>
      <c r="I309" s="1532">
        <v>3</v>
      </c>
      <c r="J309" s="1562">
        <v>12070800</v>
      </c>
      <c r="K309" s="1562">
        <f t="shared" si="18"/>
        <v>36212400</v>
      </c>
      <c r="L309" s="1560">
        <f t="shared" si="19"/>
        <v>574800</v>
      </c>
      <c r="M309" s="1658" t="s">
        <v>3354</v>
      </c>
      <c r="N309" s="1658" t="s">
        <v>3355</v>
      </c>
    </row>
    <row r="310" spans="1:14">
      <c r="A310" s="1487">
        <v>255</v>
      </c>
      <c r="B310" s="1677">
        <v>18</v>
      </c>
      <c r="C310" s="1658" t="s">
        <v>3377</v>
      </c>
      <c r="D310" s="1678" t="s">
        <v>3079</v>
      </c>
      <c r="E310" s="1658" t="s">
        <v>3073</v>
      </c>
      <c r="F310" s="1532">
        <v>14</v>
      </c>
      <c r="G310" s="1532">
        <v>11496000</v>
      </c>
      <c r="H310" s="1532">
        <f t="shared" si="20"/>
        <v>160944000</v>
      </c>
      <c r="I310" s="1532">
        <v>14</v>
      </c>
      <c r="J310" s="1562">
        <v>12070800</v>
      </c>
      <c r="K310" s="1562">
        <f t="shared" si="18"/>
        <v>168991200</v>
      </c>
      <c r="L310" s="1560">
        <f t="shared" si="19"/>
        <v>574800</v>
      </c>
      <c r="M310" s="1658" t="s">
        <v>3354</v>
      </c>
      <c r="N310" s="1658" t="s">
        <v>3355</v>
      </c>
    </row>
    <row r="311" spans="1:14">
      <c r="A311" s="1487">
        <v>256</v>
      </c>
      <c r="B311" s="1677">
        <v>19</v>
      </c>
      <c r="C311" s="1658" t="s">
        <v>3378</v>
      </c>
      <c r="D311" s="1678" t="s">
        <v>3379</v>
      </c>
      <c r="E311" s="1658" t="s">
        <v>2055</v>
      </c>
      <c r="F311" s="1532">
        <v>4</v>
      </c>
      <c r="G311" s="1532">
        <v>2400000</v>
      </c>
      <c r="H311" s="1532">
        <f t="shared" si="20"/>
        <v>9600000</v>
      </c>
      <c r="I311" s="1532">
        <v>4</v>
      </c>
      <c r="J311" s="1562">
        <v>2520000</v>
      </c>
      <c r="K311" s="1562">
        <f t="shared" si="18"/>
        <v>10080000</v>
      </c>
      <c r="L311" s="1560">
        <f t="shared" si="19"/>
        <v>120000</v>
      </c>
      <c r="M311" s="1658" t="s">
        <v>3354</v>
      </c>
      <c r="N311" s="1658" t="s">
        <v>3355</v>
      </c>
    </row>
    <row r="312" spans="1:14">
      <c r="A312" s="1487">
        <v>257</v>
      </c>
      <c r="B312" s="1677">
        <v>20</v>
      </c>
      <c r="C312" s="1658" t="s">
        <v>3380</v>
      </c>
      <c r="D312" s="1678" t="s">
        <v>3381</v>
      </c>
      <c r="E312" s="1658" t="s">
        <v>3073</v>
      </c>
      <c r="F312" s="1532">
        <v>5</v>
      </c>
      <c r="G312" s="1532">
        <v>11496000</v>
      </c>
      <c r="H312" s="1532">
        <f t="shared" si="20"/>
        <v>57480000</v>
      </c>
      <c r="I312" s="1532">
        <v>5</v>
      </c>
      <c r="J312" s="1562">
        <v>12070800</v>
      </c>
      <c r="K312" s="1562">
        <f t="shared" si="18"/>
        <v>60354000</v>
      </c>
      <c r="L312" s="1560">
        <f t="shared" si="19"/>
        <v>574800</v>
      </c>
      <c r="M312" s="1658" t="s">
        <v>3354</v>
      </c>
      <c r="N312" s="1658" t="s">
        <v>3355</v>
      </c>
    </row>
    <row r="313" spans="1:14">
      <c r="A313" s="1487">
        <v>258</v>
      </c>
      <c r="B313" s="1677">
        <v>21</v>
      </c>
      <c r="C313" s="1658" t="s">
        <v>3382</v>
      </c>
      <c r="D313" s="1678" t="s">
        <v>3079</v>
      </c>
      <c r="E313" s="1658" t="s">
        <v>3073</v>
      </c>
      <c r="F313" s="1532">
        <v>3</v>
      </c>
      <c r="G313" s="1532">
        <v>11496000</v>
      </c>
      <c r="H313" s="1532">
        <f t="shared" si="20"/>
        <v>34488000</v>
      </c>
      <c r="I313" s="1532">
        <v>3</v>
      </c>
      <c r="J313" s="1562">
        <v>12070800</v>
      </c>
      <c r="K313" s="1562">
        <f t="shared" si="18"/>
        <v>36212400</v>
      </c>
      <c r="L313" s="1560">
        <f t="shared" si="19"/>
        <v>574800</v>
      </c>
      <c r="M313" s="1658" t="s">
        <v>3354</v>
      </c>
      <c r="N313" s="1658" t="s">
        <v>3355</v>
      </c>
    </row>
    <row r="314" spans="1:14">
      <c r="A314" s="1487">
        <v>259</v>
      </c>
      <c r="B314" s="1677">
        <v>22</v>
      </c>
      <c r="C314" s="1658" t="s">
        <v>3383</v>
      </c>
      <c r="D314" s="1678" t="s">
        <v>3079</v>
      </c>
      <c r="E314" s="1658" t="s">
        <v>3073</v>
      </c>
      <c r="F314" s="1532">
        <v>3</v>
      </c>
      <c r="G314" s="1532">
        <v>11496000</v>
      </c>
      <c r="H314" s="1532">
        <f t="shared" si="20"/>
        <v>34488000</v>
      </c>
      <c r="I314" s="1532">
        <v>3</v>
      </c>
      <c r="J314" s="1562">
        <v>12070800</v>
      </c>
      <c r="K314" s="1562">
        <f t="shared" si="18"/>
        <v>36212400</v>
      </c>
      <c r="L314" s="1560">
        <f t="shared" si="19"/>
        <v>574800</v>
      </c>
      <c r="M314" s="1658" t="s">
        <v>3354</v>
      </c>
      <c r="N314" s="1658" t="s">
        <v>3355</v>
      </c>
    </row>
    <row r="315" spans="1:14">
      <c r="A315" s="1487">
        <v>260</v>
      </c>
      <c r="B315" s="1677">
        <v>23</v>
      </c>
      <c r="C315" s="1658" t="s">
        <v>3384</v>
      </c>
      <c r="D315" s="1678" t="s">
        <v>3079</v>
      </c>
      <c r="E315" s="1658" t="s">
        <v>3073</v>
      </c>
      <c r="F315" s="1532">
        <v>3</v>
      </c>
      <c r="G315" s="1532">
        <v>11496000</v>
      </c>
      <c r="H315" s="1532">
        <f t="shared" si="20"/>
        <v>34488000</v>
      </c>
      <c r="I315" s="1532">
        <v>3</v>
      </c>
      <c r="J315" s="1562">
        <v>12070800</v>
      </c>
      <c r="K315" s="1562">
        <f t="shared" si="18"/>
        <v>36212400</v>
      </c>
      <c r="L315" s="1560">
        <f t="shared" si="19"/>
        <v>574800</v>
      </c>
      <c r="M315" s="1658" t="s">
        <v>3354</v>
      </c>
      <c r="N315" s="1658" t="s">
        <v>3355</v>
      </c>
    </row>
    <row r="316" spans="1:14">
      <c r="A316" s="1487">
        <v>261</v>
      </c>
      <c r="B316" s="1677">
        <v>24</v>
      </c>
      <c r="C316" s="1658" t="s">
        <v>3385</v>
      </c>
      <c r="D316" s="1678" t="s">
        <v>3079</v>
      </c>
      <c r="E316" s="1658" t="s">
        <v>3073</v>
      </c>
      <c r="F316" s="1532">
        <v>4</v>
      </c>
      <c r="G316" s="1532">
        <v>13140000</v>
      </c>
      <c r="H316" s="1532">
        <f t="shared" si="20"/>
        <v>52560000</v>
      </c>
      <c r="I316" s="1532">
        <v>4</v>
      </c>
      <c r="J316" s="1562">
        <v>13797000</v>
      </c>
      <c r="K316" s="1562">
        <f t="shared" si="18"/>
        <v>55188000</v>
      </c>
      <c r="L316" s="1560">
        <f t="shared" si="19"/>
        <v>657000</v>
      </c>
      <c r="M316" s="1658" t="s">
        <v>3354</v>
      </c>
      <c r="N316" s="1658" t="s">
        <v>3355</v>
      </c>
    </row>
    <row r="317" spans="1:14">
      <c r="A317" s="1487">
        <v>262</v>
      </c>
      <c r="B317" s="1677">
        <v>25</v>
      </c>
      <c r="C317" s="1658" t="s">
        <v>3386</v>
      </c>
      <c r="D317" s="1678" t="s">
        <v>3079</v>
      </c>
      <c r="E317" s="1658" t="s">
        <v>3073</v>
      </c>
      <c r="F317" s="1532">
        <v>30</v>
      </c>
      <c r="G317" s="1532">
        <v>62424000</v>
      </c>
      <c r="H317" s="1532">
        <f t="shared" si="20"/>
        <v>1872720000</v>
      </c>
      <c r="I317" s="1532">
        <v>30</v>
      </c>
      <c r="J317" s="1562">
        <v>65545200</v>
      </c>
      <c r="K317" s="1562">
        <f t="shared" si="18"/>
        <v>1966356000</v>
      </c>
      <c r="L317" s="1560">
        <f t="shared" si="19"/>
        <v>3121200</v>
      </c>
      <c r="M317" s="1658" t="s">
        <v>3354</v>
      </c>
      <c r="N317" s="1658" t="s">
        <v>3355</v>
      </c>
    </row>
    <row r="318" spans="1:14">
      <c r="A318" s="1487">
        <v>263</v>
      </c>
      <c r="B318" s="1677">
        <v>26</v>
      </c>
      <c r="C318" s="1658" t="s">
        <v>3387</v>
      </c>
      <c r="D318" s="1678" t="s">
        <v>3079</v>
      </c>
      <c r="E318" s="1658" t="s">
        <v>3073</v>
      </c>
      <c r="F318" s="1532">
        <v>30</v>
      </c>
      <c r="G318" s="1532">
        <v>13140000</v>
      </c>
      <c r="H318" s="1532">
        <f t="shared" si="20"/>
        <v>394200000</v>
      </c>
      <c r="I318" s="1532">
        <v>30</v>
      </c>
      <c r="J318" s="1562">
        <v>13797000</v>
      </c>
      <c r="K318" s="1562">
        <f t="shared" si="18"/>
        <v>413910000</v>
      </c>
      <c r="L318" s="1560">
        <f t="shared" si="19"/>
        <v>657000</v>
      </c>
      <c r="M318" s="1658" t="s">
        <v>3354</v>
      </c>
      <c r="N318" s="1658" t="s">
        <v>3355</v>
      </c>
    </row>
    <row r="319" spans="1:14">
      <c r="A319" s="1487">
        <v>264</v>
      </c>
      <c r="B319" s="1677">
        <v>27</v>
      </c>
      <c r="C319" s="1658" t="s">
        <v>3388</v>
      </c>
      <c r="D319" s="1678" t="s">
        <v>3079</v>
      </c>
      <c r="E319" s="1658" t="s">
        <v>3073</v>
      </c>
      <c r="F319" s="1532">
        <v>10</v>
      </c>
      <c r="G319" s="1532">
        <v>14453000</v>
      </c>
      <c r="H319" s="1532">
        <f t="shared" si="20"/>
        <v>144530000</v>
      </c>
      <c r="I319" s="1532">
        <v>10</v>
      </c>
      <c r="J319" s="1562">
        <v>15175650</v>
      </c>
      <c r="K319" s="1562">
        <f t="shared" si="18"/>
        <v>151756500</v>
      </c>
      <c r="L319" s="1560">
        <f t="shared" si="19"/>
        <v>722650</v>
      </c>
      <c r="M319" s="1658" t="s">
        <v>3354</v>
      </c>
      <c r="N319" s="1658" t="s">
        <v>3355</v>
      </c>
    </row>
    <row r="320" spans="1:14">
      <c r="A320" s="1487">
        <v>265</v>
      </c>
      <c r="B320" s="1677">
        <v>28</v>
      </c>
      <c r="C320" s="1658" t="s">
        <v>3389</v>
      </c>
      <c r="D320" s="1678" t="s">
        <v>3079</v>
      </c>
      <c r="E320" s="1658" t="s">
        <v>3073</v>
      </c>
      <c r="F320" s="1532">
        <v>10</v>
      </c>
      <c r="G320" s="1532">
        <v>14453000</v>
      </c>
      <c r="H320" s="1532">
        <f t="shared" si="20"/>
        <v>144530000</v>
      </c>
      <c r="I320" s="1532">
        <v>10</v>
      </c>
      <c r="J320" s="1562">
        <v>15175650</v>
      </c>
      <c r="K320" s="1562">
        <f t="shared" si="18"/>
        <v>151756500</v>
      </c>
      <c r="L320" s="1560">
        <f t="shared" si="19"/>
        <v>722650</v>
      </c>
      <c r="M320" s="1658" t="s">
        <v>3354</v>
      </c>
      <c r="N320" s="1658" t="s">
        <v>3355</v>
      </c>
    </row>
    <row r="321" spans="1:14">
      <c r="A321" s="1487">
        <v>266</v>
      </c>
      <c r="B321" s="1677">
        <v>29</v>
      </c>
      <c r="C321" s="1658" t="s">
        <v>3390</v>
      </c>
      <c r="D321" s="1678" t="s">
        <v>3079</v>
      </c>
      <c r="E321" s="1658" t="s">
        <v>3073</v>
      </c>
      <c r="F321" s="1532">
        <v>40</v>
      </c>
      <c r="G321" s="1532">
        <v>9196000</v>
      </c>
      <c r="H321" s="1532">
        <f t="shared" si="20"/>
        <v>367840000</v>
      </c>
      <c r="I321" s="1532">
        <v>40</v>
      </c>
      <c r="J321" s="1562">
        <v>9655800</v>
      </c>
      <c r="K321" s="1562">
        <f t="shared" si="18"/>
        <v>386232000</v>
      </c>
      <c r="L321" s="1560">
        <f t="shared" si="19"/>
        <v>459800</v>
      </c>
      <c r="M321" s="1658" t="s">
        <v>3354</v>
      </c>
      <c r="N321" s="1658" t="s">
        <v>3355</v>
      </c>
    </row>
    <row r="322" spans="1:14">
      <c r="A322" s="1487">
        <v>267</v>
      </c>
      <c r="B322" s="1677">
        <v>30</v>
      </c>
      <c r="C322" s="1658" t="s">
        <v>3391</v>
      </c>
      <c r="D322" s="1678" t="s">
        <v>3079</v>
      </c>
      <c r="E322" s="1658" t="s">
        <v>3073</v>
      </c>
      <c r="F322" s="1532">
        <v>40</v>
      </c>
      <c r="G322" s="1532">
        <v>9196000</v>
      </c>
      <c r="H322" s="1532">
        <f t="shared" si="20"/>
        <v>367840000</v>
      </c>
      <c r="I322" s="1532">
        <v>40</v>
      </c>
      <c r="J322" s="1562">
        <v>9655800</v>
      </c>
      <c r="K322" s="1562">
        <f t="shared" si="18"/>
        <v>386232000</v>
      </c>
      <c r="L322" s="1560">
        <f t="shared" si="19"/>
        <v>459800</v>
      </c>
      <c r="M322" s="1658" t="s">
        <v>3354</v>
      </c>
      <c r="N322" s="1658" t="s">
        <v>3355</v>
      </c>
    </row>
    <row r="323" spans="1:14">
      <c r="A323" s="1487">
        <v>268</v>
      </c>
      <c r="B323" s="1677">
        <v>31</v>
      </c>
      <c r="C323" s="1658" t="s">
        <v>3392</v>
      </c>
      <c r="D323" s="1678" t="s">
        <v>3079</v>
      </c>
      <c r="E323" s="1658" t="s">
        <v>3073</v>
      </c>
      <c r="F323" s="1532">
        <v>40</v>
      </c>
      <c r="G323" s="1532">
        <v>10510000</v>
      </c>
      <c r="H323" s="1532">
        <f t="shared" si="20"/>
        <v>420400000</v>
      </c>
      <c r="I323" s="1532">
        <v>40</v>
      </c>
      <c r="J323" s="1562">
        <v>11035500</v>
      </c>
      <c r="K323" s="1562">
        <f t="shared" si="18"/>
        <v>441420000</v>
      </c>
      <c r="L323" s="1560">
        <f t="shared" si="19"/>
        <v>525500</v>
      </c>
      <c r="M323" s="1658" t="s">
        <v>3354</v>
      </c>
      <c r="N323" s="1658" t="s">
        <v>3355</v>
      </c>
    </row>
    <row r="324" spans="1:14">
      <c r="A324" s="1487">
        <v>269</v>
      </c>
      <c r="B324" s="1677">
        <v>32</v>
      </c>
      <c r="C324" s="1658" t="s">
        <v>3393</v>
      </c>
      <c r="D324" s="1678" t="s">
        <v>3079</v>
      </c>
      <c r="E324" s="1658" t="s">
        <v>3073</v>
      </c>
      <c r="F324" s="1532">
        <v>10</v>
      </c>
      <c r="G324" s="1532">
        <v>9196000</v>
      </c>
      <c r="H324" s="1532">
        <f t="shared" si="20"/>
        <v>91960000</v>
      </c>
      <c r="I324" s="1532">
        <v>10</v>
      </c>
      <c r="J324" s="1562">
        <v>9655800</v>
      </c>
      <c r="K324" s="1562">
        <f t="shared" si="18"/>
        <v>96558000</v>
      </c>
      <c r="L324" s="1560">
        <f t="shared" si="19"/>
        <v>459800</v>
      </c>
      <c r="M324" s="1658" t="s">
        <v>3354</v>
      </c>
      <c r="N324" s="1658" t="s">
        <v>3355</v>
      </c>
    </row>
    <row r="325" spans="1:14">
      <c r="A325" s="1487">
        <v>270</v>
      </c>
      <c r="B325" s="1677">
        <v>33</v>
      </c>
      <c r="C325" s="1658" t="s">
        <v>3394</v>
      </c>
      <c r="D325" s="1678" t="s">
        <v>3079</v>
      </c>
      <c r="E325" s="1658" t="s">
        <v>3073</v>
      </c>
      <c r="F325" s="1532">
        <v>12</v>
      </c>
      <c r="G325" s="1532">
        <v>10510000</v>
      </c>
      <c r="H325" s="1532">
        <f t="shared" si="20"/>
        <v>126120000</v>
      </c>
      <c r="I325" s="1532">
        <v>12</v>
      </c>
      <c r="J325" s="1562">
        <v>11035500</v>
      </c>
      <c r="K325" s="1562">
        <f t="shared" si="18"/>
        <v>132426000</v>
      </c>
      <c r="L325" s="1560">
        <f t="shared" si="19"/>
        <v>525500</v>
      </c>
      <c r="M325" s="1658" t="s">
        <v>3354</v>
      </c>
      <c r="N325" s="1658" t="s">
        <v>3355</v>
      </c>
    </row>
    <row r="326" spans="1:14">
      <c r="A326" s="1487">
        <v>271</v>
      </c>
      <c r="B326" s="1677">
        <v>34</v>
      </c>
      <c r="C326" s="1658" t="s">
        <v>3395</v>
      </c>
      <c r="D326" s="1678" t="s">
        <v>3079</v>
      </c>
      <c r="E326" s="1658" t="s">
        <v>3073</v>
      </c>
      <c r="F326" s="1532">
        <v>6</v>
      </c>
      <c r="G326" s="1532">
        <v>24970000</v>
      </c>
      <c r="H326" s="1532">
        <f t="shared" si="20"/>
        <v>149820000</v>
      </c>
      <c r="I326" s="1532">
        <v>6</v>
      </c>
      <c r="J326" s="1562">
        <v>26218500</v>
      </c>
      <c r="K326" s="1562">
        <f t="shared" si="18"/>
        <v>157311000</v>
      </c>
      <c r="L326" s="1560">
        <f t="shared" si="19"/>
        <v>1248500</v>
      </c>
      <c r="M326" s="1658" t="s">
        <v>3354</v>
      </c>
      <c r="N326" s="1658" t="s">
        <v>3355</v>
      </c>
    </row>
    <row r="327" spans="1:14">
      <c r="A327" s="1487">
        <v>272</v>
      </c>
      <c r="B327" s="1677">
        <v>35</v>
      </c>
      <c r="C327" s="1658" t="s">
        <v>3396</v>
      </c>
      <c r="D327" s="1678" t="s">
        <v>3079</v>
      </c>
      <c r="E327" s="1658" t="s">
        <v>3073</v>
      </c>
      <c r="F327" s="1532">
        <v>15</v>
      </c>
      <c r="G327" s="1532">
        <v>9853000</v>
      </c>
      <c r="H327" s="1532">
        <f t="shared" si="20"/>
        <v>147795000</v>
      </c>
      <c r="I327" s="1532">
        <v>15</v>
      </c>
      <c r="J327" s="1562">
        <v>10345650</v>
      </c>
      <c r="K327" s="1562">
        <f t="shared" si="18"/>
        <v>155184750</v>
      </c>
      <c r="L327" s="1560">
        <f t="shared" si="19"/>
        <v>492650</v>
      </c>
      <c r="M327" s="1658" t="s">
        <v>3354</v>
      </c>
      <c r="N327" s="1658" t="s">
        <v>3355</v>
      </c>
    </row>
    <row r="328" spans="1:14">
      <c r="A328" s="1487">
        <v>273</v>
      </c>
      <c r="B328" s="1677">
        <v>36</v>
      </c>
      <c r="C328" s="1658" t="s">
        <v>3397</v>
      </c>
      <c r="D328" s="1678" t="s">
        <v>3079</v>
      </c>
      <c r="E328" s="1658" t="s">
        <v>3073</v>
      </c>
      <c r="F328" s="1532">
        <v>1</v>
      </c>
      <c r="G328" s="1532">
        <v>15110000</v>
      </c>
      <c r="H328" s="1532">
        <f t="shared" si="20"/>
        <v>15110000</v>
      </c>
      <c r="I328" s="1532">
        <v>1</v>
      </c>
      <c r="J328" s="1562">
        <v>15865500</v>
      </c>
      <c r="K328" s="1562">
        <f t="shared" si="18"/>
        <v>15865500</v>
      </c>
      <c r="L328" s="1560">
        <f t="shared" si="19"/>
        <v>755500</v>
      </c>
      <c r="M328" s="1658" t="s">
        <v>3354</v>
      </c>
      <c r="N328" s="1658" t="s">
        <v>3355</v>
      </c>
    </row>
    <row r="329" spans="1:14">
      <c r="A329" s="1487">
        <v>274</v>
      </c>
      <c r="B329" s="1677">
        <v>37</v>
      </c>
      <c r="C329" s="1658" t="s">
        <v>3398</v>
      </c>
      <c r="D329" s="1678" t="s">
        <v>3079</v>
      </c>
      <c r="E329" s="1658" t="s">
        <v>3073</v>
      </c>
      <c r="F329" s="1532">
        <v>2</v>
      </c>
      <c r="G329" s="1532">
        <v>21024000</v>
      </c>
      <c r="H329" s="1532">
        <f t="shared" si="20"/>
        <v>42048000</v>
      </c>
      <c r="I329" s="1532">
        <v>2</v>
      </c>
      <c r="J329" s="1562">
        <v>22075200</v>
      </c>
      <c r="K329" s="1562">
        <f>I329*J329</f>
        <v>44150400</v>
      </c>
      <c r="L329" s="1560">
        <f t="shared" si="19"/>
        <v>1051200</v>
      </c>
      <c r="M329" s="1658" t="s">
        <v>3354</v>
      </c>
      <c r="N329" s="1658" t="s">
        <v>3355</v>
      </c>
    </row>
    <row r="330" spans="1:14">
      <c r="A330" s="1487">
        <v>275</v>
      </c>
      <c r="B330" s="1677">
        <v>38</v>
      </c>
      <c r="C330" s="1658" t="s">
        <v>3399</v>
      </c>
      <c r="D330" s="1678" t="s">
        <v>3079</v>
      </c>
      <c r="E330" s="1658" t="s">
        <v>3073</v>
      </c>
      <c r="F330" s="1532">
        <v>8</v>
      </c>
      <c r="G330" s="1532">
        <v>21024000</v>
      </c>
      <c r="H330" s="1532">
        <f t="shared" si="20"/>
        <v>168192000</v>
      </c>
      <c r="I330" s="1532">
        <v>8</v>
      </c>
      <c r="J330" s="1562">
        <v>22075200</v>
      </c>
      <c r="K330" s="1562">
        <f>I330*J330</f>
        <v>176601600</v>
      </c>
      <c r="L330" s="1560">
        <f t="shared" si="19"/>
        <v>1051200</v>
      </c>
      <c r="M330" s="1658" t="s">
        <v>3354</v>
      </c>
      <c r="N330" s="1658" t="s">
        <v>3355</v>
      </c>
    </row>
    <row r="331" spans="1:14">
      <c r="A331" s="1487">
        <v>276</v>
      </c>
      <c r="B331" s="1677">
        <v>39</v>
      </c>
      <c r="C331" s="1658" t="s">
        <v>3400</v>
      </c>
      <c r="D331" s="1678" t="s">
        <v>3079</v>
      </c>
      <c r="E331" s="1658" t="s">
        <v>3073</v>
      </c>
      <c r="F331" s="1532">
        <v>3</v>
      </c>
      <c r="G331" s="1532">
        <v>13140000</v>
      </c>
      <c r="H331" s="1532">
        <f t="shared" si="20"/>
        <v>39420000</v>
      </c>
      <c r="I331" s="1532">
        <v>3</v>
      </c>
      <c r="J331" s="1562">
        <v>13797000</v>
      </c>
      <c r="K331" s="1562">
        <f>I331*J331</f>
        <v>41391000</v>
      </c>
      <c r="L331" s="1560">
        <f t="shared" si="19"/>
        <v>657000</v>
      </c>
      <c r="M331" s="1658" t="s">
        <v>3354</v>
      </c>
      <c r="N331" s="1658" t="s">
        <v>3355</v>
      </c>
    </row>
    <row r="332" spans="1:14">
      <c r="A332" s="1487">
        <v>277</v>
      </c>
      <c r="B332" s="1677">
        <v>40</v>
      </c>
      <c r="C332" s="1658" t="s">
        <v>3401</v>
      </c>
      <c r="D332" s="1678" t="s">
        <v>3079</v>
      </c>
      <c r="E332" s="1658" t="s">
        <v>3073</v>
      </c>
      <c r="F332" s="1532">
        <v>12</v>
      </c>
      <c r="G332" s="1532">
        <v>17740000</v>
      </c>
      <c r="H332" s="1532">
        <f t="shared" si="20"/>
        <v>212880000</v>
      </c>
      <c r="I332" s="1532">
        <v>12</v>
      </c>
      <c r="J332" s="1562">
        <v>18627000</v>
      </c>
      <c r="K332" s="1562">
        <f>I332*J332</f>
        <v>223524000</v>
      </c>
      <c r="L332" s="1560">
        <f t="shared" si="19"/>
        <v>887000</v>
      </c>
      <c r="M332" s="1658" t="s">
        <v>3354</v>
      </c>
      <c r="N332" s="1658" t="s">
        <v>3355</v>
      </c>
    </row>
    <row r="333" spans="1:14">
      <c r="A333" s="1487">
        <v>278</v>
      </c>
      <c r="B333" s="1677">
        <v>41</v>
      </c>
      <c r="C333" s="1658" t="s">
        <v>3402</v>
      </c>
      <c r="D333" s="1678" t="s">
        <v>3403</v>
      </c>
      <c r="E333" s="1658" t="s">
        <v>3073</v>
      </c>
      <c r="F333" s="1532">
        <v>5</v>
      </c>
      <c r="G333" s="1532">
        <v>3183000</v>
      </c>
      <c r="H333" s="1532">
        <f t="shared" si="20"/>
        <v>15915000</v>
      </c>
      <c r="I333" s="1532">
        <v>5</v>
      </c>
      <c r="J333" s="1562">
        <v>3342150</v>
      </c>
      <c r="K333" s="1562">
        <f>I333*J333</f>
        <v>16710750</v>
      </c>
      <c r="L333" s="1560">
        <f t="shared" si="19"/>
        <v>159150</v>
      </c>
      <c r="M333" s="1658" t="s">
        <v>3354</v>
      </c>
      <c r="N333" s="1658" t="s">
        <v>3355</v>
      </c>
    </row>
    <row r="334" spans="1:14">
      <c r="A334" s="1487">
        <v>279</v>
      </c>
      <c r="B334" s="1677">
        <v>42</v>
      </c>
      <c r="C334" s="1658" t="s">
        <v>3404</v>
      </c>
      <c r="D334" s="1678" t="s">
        <v>3405</v>
      </c>
      <c r="E334" s="1658" t="s">
        <v>3073</v>
      </c>
      <c r="F334" s="1532">
        <v>25</v>
      </c>
      <c r="G334" s="1532">
        <v>5024000</v>
      </c>
      <c r="H334" s="1532">
        <f t="shared" si="20"/>
        <v>125600000</v>
      </c>
      <c r="I334" s="1532">
        <v>25</v>
      </c>
      <c r="J334" s="1562">
        <v>5275200</v>
      </c>
      <c r="K334" s="1562">
        <f t="shared" ref="K334:K347" si="21">I334*J334</f>
        <v>131880000</v>
      </c>
      <c r="L334" s="1560">
        <f t="shared" si="19"/>
        <v>251200</v>
      </c>
      <c r="M334" s="1658" t="s">
        <v>3354</v>
      </c>
      <c r="N334" s="1658" t="s">
        <v>3355</v>
      </c>
    </row>
    <row r="335" spans="1:14">
      <c r="A335" s="1487">
        <v>280</v>
      </c>
      <c r="B335" s="1677">
        <v>43</v>
      </c>
      <c r="C335" s="1658" t="s">
        <v>3406</v>
      </c>
      <c r="D335" s="1678" t="s">
        <v>3407</v>
      </c>
      <c r="E335" s="1658" t="s">
        <v>3073</v>
      </c>
      <c r="F335" s="1532">
        <v>20</v>
      </c>
      <c r="G335" s="1532">
        <v>24803000</v>
      </c>
      <c r="H335" s="1532">
        <f t="shared" si="20"/>
        <v>496060000</v>
      </c>
      <c r="I335" s="1532">
        <v>20</v>
      </c>
      <c r="J335" s="1562">
        <v>26043150</v>
      </c>
      <c r="K335" s="1562">
        <f t="shared" si="21"/>
        <v>520863000</v>
      </c>
      <c r="L335" s="1560">
        <f t="shared" si="19"/>
        <v>1240150</v>
      </c>
      <c r="M335" s="1658" t="s">
        <v>3354</v>
      </c>
      <c r="N335" s="1658" t="s">
        <v>3355</v>
      </c>
    </row>
    <row r="336" spans="1:14">
      <c r="A336" s="1487">
        <v>281</v>
      </c>
      <c r="B336" s="1677">
        <v>44</v>
      </c>
      <c r="C336" s="1658" t="s">
        <v>3408</v>
      </c>
      <c r="D336" s="1678" t="s">
        <v>3409</v>
      </c>
      <c r="E336" s="1658" t="s">
        <v>3073</v>
      </c>
      <c r="F336" s="1532">
        <v>1</v>
      </c>
      <c r="G336" s="1532">
        <v>5024000</v>
      </c>
      <c r="H336" s="1532">
        <f t="shared" si="20"/>
        <v>5024000</v>
      </c>
      <c r="I336" s="1532">
        <v>1</v>
      </c>
      <c r="J336" s="1562">
        <v>5275200</v>
      </c>
      <c r="K336" s="1562">
        <f t="shared" si="21"/>
        <v>5275200</v>
      </c>
      <c r="L336" s="1560">
        <f t="shared" si="19"/>
        <v>251200</v>
      </c>
      <c r="M336" s="1658" t="s">
        <v>3354</v>
      </c>
      <c r="N336" s="1658" t="s">
        <v>3355</v>
      </c>
    </row>
    <row r="337" spans="1:14">
      <c r="A337" s="1487">
        <v>282</v>
      </c>
      <c r="B337" s="1677">
        <v>45</v>
      </c>
      <c r="C337" s="1658" t="s">
        <v>3410</v>
      </c>
      <c r="D337" s="1678" t="s">
        <v>3409</v>
      </c>
      <c r="E337" s="1658" t="s">
        <v>3041</v>
      </c>
      <c r="F337" s="1532">
        <v>35</v>
      </c>
      <c r="G337" s="1532">
        <v>4300000</v>
      </c>
      <c r="H337" s="1532">
        <f t="shared" si="20"/>
        <v>150500000</v>
      </c>
      <c r="I337" s="1532">
        <v>35</v>
      </c>
      <c r="J337" s="1562">
        <v>4515000</v>
      </c>
      <c r="K337" s="1562">
        <f t="shared" si="21"/>
        <v>158025000</v>
      </c>
      <c r="L337" s="1560">
        <f t="shared" si="19"/>
        <v>215000</v>
      </c>
      <c r="M337" s="1658" t="s">
        <v>3354</v>
      </c>
      <c r="N337" s="1658" t="s">
        <v>3355</v>
      </c>
    </row>
    <row r="338" spans="1:14">
      <c r="A338" s="1487">
        <v>283</v>
      </c>
      <c r="B338" s="1677">
        <v>46</v>
      </c>
      <c r="C338" s="1598" t="s">
        <v>3411</v>
      </c>
      <c r="D338" s="1679" t="s">
        <v>3381</v>
      </c>
      <c r="E338" s="1598" t="s">
        <v>435</v>
      </c>
      <c r="F338" s="1532">
        <v>3</v>
      </c>
      <c r="G338" s="1532">
        <v>11851578.095238095</v>
      </c>
      <c r="H338" s="1532">
        <f t="shared" si="20"/>
        <v>35554734.285714284</v>
      </c>
      <c r="I338" s="1532">
        <v>3</v>
      </c>
      <c r="J338" s="1562">
        <v>12444157</v>
      </c>
      <c r="K338" s="1562">
        <f t="shared" si="21"/>
        <v>37332471</v>
      </c>
      <c r="L338" s="1560">
        <f t="shared" si="19"/>
        <v>592578.90476190485</v>
      </c>
      <c r="M338" s="1658" t="s">
        <v>3354</v>
      </c>
      <c r="N338" s="1658" t="s">
        <v>3355</v>
      </c>
    </row>
    <row r="339" spans="1:14">
      <c r="A339" s="1487">
        <v>284</v>
      </c>
      <c r="B339" s="1677">
        <v>47</v>
      </c>
      <c r="C339" s="1598" t="s">
        <v>3412</v>
      </c>
      <c r="D339" s="1679" t="s">
        <v>3381</v>
      </c>
      <c r="E339" s="1598" t="s">
        <v>435</v>
      </c>
      <c r="F339" s="1532">
        <v>10</v>
      </c>
      <c r="G339" s="1532">
        <v>70175438.09523809</v>
      </c>
      <c r="H339" s="1532">
        <f t="shared" si="20"/>
        <v>701754380.9523809</v>
      </c>
      <c r="I339" s="1532">
        <v>10</v>
      </c>
      <c r="J339" s="1562">
        <v>73684210</v>
      </c>
      <c r="K339" s="1562">
        <f t="shared" si="21"/>
        <v>736842100</v>
      </c>
      <c r="L339" s="1560">
        <f t="shared" si="19"/>
        <v>3508771.9047619104</v>
      </c>
      <c r="M339" s="1658" t="s">
        <v>3354</v>
      </c>
      <c r="N339" s="1658" t="s">
        <v>3355</v>
      </c>
    </row>
    <row r="340" spans="1:14">
      <c r="A340" s="1487">
        <v>285</v>
      </c>
      <c r="B340" s="1677">
        <v>48</v>
      </c>
      <c r="C340" s="1680" t="s">
        <v>3413</v>
      </c>
      <c r="D340" s="1680" t="s">
        <v>3414</v>
      </c>
      <c r="E340" s="1598" t="s">
        <v>435</v>
      </c>
      <c r="F340" s="1532">
        <v>3</v>
      </c>
      <c r="G340" s="1532">
        <v>12285714.285714285</v>
      </c>
      <c r="H340" s="1532">
        <f t="shared" si="20"/>
        <v>36857142.857142858</v>
      </c>
      <c r="I340" s="1532">
        <v>3</v>
      </c>
      <c r="J340" s="1562">
        <v>12900000</v>
      </c>
      <c r="K340" s="1562">
        <f t="shared" si="21"/>
        <v>38700000</v>
      </c>
      <c r="L340" s="1560">
        <f t="shared" si="19"/>
        <v>614285.71428571455</v>
      </c>
      <c r="M340" s="1658" t="s">
        <v>3333</v>
      </c>
      <c r="N340" s="1658" t="s">
        <v>3355</v>
      </c>
    </row>
    <row r="341" spans="1:14">
      <c r="A341" s="1487">
        <v>286</v>
      </c>
      <c r="B341" s="1677">
        <v>49</v>
      </c>
      <c r="C341" s="1598" t="s">
        <v>3415</v>
      </c>
      <c r="D341" s="1679" t="s">
        <v>3416</v>
      </c>
      <c r="E341" s="1598" t="s">
        <v>435</v>
      </c>
      <c r="F341" s="1532">
        <v>4</v>
      </c>
      <c r="G341" s="1532">
        <v>2114285.7142857141</v>
      </c>
      <c r="H341" s="1532">
        <f t="shared" si="20"/>
        <v>8457142.8571428563</v>
      </c>
      <c r="I341" s="1532">
        <v>4</v>
      </c>
      <c r="J341" s="1562">
        <v>2220000</v>
      </c>
      <c r="K341" s="1562">
        <f t="shared" si="21"/>
        <v>8880000</v>
      </c>
      <c r="L341" s="1560">
        <f t="shared" si="19"/>
        <v>105714.28571428591</v>
      </c>
      <c r="M341" s="1658" t="s">
        <v>3333</v>
      </c>
      <c r="N341" s="1658" t="s">
        <v>3355</v>
      </c>
    </row>
    <row r="342" spans="1:14">
      <c r="A342" s="1487">
        <v>287</v>
      </c>
      <c r="B342" s="1677">
        <v>50</v>
      </c>
      <c r="C342" s="1598" t="s">
        <v>3417</v>
      </c>
      <c r="D342" s="1679" t="s">
        <v>3418</v>
      </c>
      <c r="E342" s="1598" t="s">
        <v>435</v>
      </c>
      <c r="F342" s="1532">
        <v>3</v>
      </c>
      <c r="G342" s="1532">
        <v>5673333.333333333</v>
      </c>
      <c r="H342" s="1532">
        <f t="shared" si="20"/>
        <v>17020000</v>
      </c>
      <c r="I342" s="1532">
        <v>3</v>
      </c>
      <c r="J342" s="1562">
        <v>5957000</v>
      </c>
      <c r="K342" s="1562">
        <f t="shared" si="21"/>
        <v>17871000</v>
      </c>
      <c r="L342" s="1560">
        <f t="shared" si="19"/>
        <v>283666.66666666698</v>
      </c>
      <c r="M342" s="1658" t="s">
        <v>3333</v>
      </c>
      <c r="N342" s="1658" t="s">
        <v>3355</v>
      </c>
    </row>
    <row r="343" spans="1:14">
      <c r="A343" s="1487">
        <v>288</v>
      </c>
      <c r="B343" s="1677">
        <v>51</v>
      </c>
      <c r="C343" s="1598" t="s">
        <v>3419</v>
      </c>
      <c r="D343" s="1679" t="s">
        <v>3418</v>
      </c>
      <c r="E343" s="1598" t="s">
        <v>435</v>
      </c>
      <c r="F343" s="1532">
        <v>3</v>
      </c>
      <c r="G343" s="1532">
        <v>5673333.333333333</v>
      </c>
      <c r="H343" s="1532">
        <f t="shared" si="20"/>
        <v>17020000</v>
      </c>
      <c r="I343" s="1532">
        <v>3</v>
      </c>
      <c r="J343" s="1562">
        <v>5957000</v>
      </c>
      <c r="K343" s="1562">
        <f t="shared" si="21"/>
        <v>17871000</v>
      </c>
      <c r="L343" s="1560">
        <f t="shared" si="19"/>
        <v>283666.66666666698</v>
      </c>
      <c r="M343" s="1658" t="s">
        <v>3333</v>
      </c>
      <c r="N343" s="1658" t="s">
        <v>3355</v>
      </c>
    </row>
    <row r="344" spans="1:14">
      <c r="A344" s="1487">
        <v>289</v>
      </c>
      <c r="B344" s="1677">
        <v>52</v>
      </c>
      <c r="C344" s="1598" t="s">
        <v>3420</v>
      </c>
      <c r="D344" s="1679" t="s">
        <v>3418</v>
      </c>
      <c r="E344" s="1598" t="s">
        <v>435</v>
      </c>
      <c r="F344" s="1532">
        <v>3</v>
      </c>
      <c r="G344" s="1532">
        <v>5673333.333333333</v>
      </c>
      <c r="H344" s="1532">
        <f t="shared" si="20"/>
        <v>17020000</v>
      </c>
      <c r="I344" s="1532">
        <v>3</v>
      </c>
      <c r="J344" s="1562">
        <v>5957000</v>
      </c>
      <c r="K344" s="1562">
        <f t="shared" si="21"/>
        <v>17871000</v>
      </c>
      <c r="L344" s="1560">
        <f t="shared" si="19"/>
        <v>283666.66666666698</v>
      </c>
      <c r="M344" s="1658" t="s">
        <v>3333</v>
      </c>
      <c r="N344" s="1658" t="s">
        <v>3355</v>
      </c>
    </row>
    <row r="345" spans="1:14">
      <c r="A345" s="1487">
        <v>290</v>
      </c>
      <c r="B345" s="1677">
        <v>53</v>
      </c>
      <c r="C345" s="1680" t="s">
        <v>3421</v>
      </c>
      <c r="D345" s="1679" t="s">
        <v>3208</v>
      </c>
      <c r="E345" s="1598" t="s">
        <v>435</v>
      </c>
      <c r="F345" s="1532">
        <v>2</v>
      </c>
      <c r="G345" s="1532">
        <v>9714285.7142857146</v>
      </c>
      <c r="H345" s="1532">
        <f t="shared" si="20"/>
        <v>19428571.428571429</v>
      </c>
      <c r="I345" s="1532">
        <v>2</v>
      </c>
      <c r="J345" s="1562">
        <v>10200000</v>
      </c>
      <c r="K345" s="1562">
        <f t="shared" si="21"/>
        <v>20400000</v>
      </c>
      <c r="L345" s="1560">
        <f t="shared" si="19"/>
        <v>485714.28571428545</v>
      </c>
      <c r="M345" s="1658" t="s">
        <v>3333</v>
      </c>
      <c r="N345" s="1658" t="s">
        <v>3355</v>
      </c>
    </row>
    <row r="346" spans="1:14">
      <c r="A346" s="1487">
        <v>291</v>
      </c>
      <c r="B346" s="1677">
        <v>54</v>
      </c>
      <c r="C346" s="1680" t="s">
        <v>3422</v>
      </c>
      <c r="D346" s="1679" t="s">
        <v>3208</v>
      </c>
      <c r="E346" s="1598" t="s">
        <v>435</v>
      </c>
      <c r="F346" s="1532">
        <v>2</v>
      </c>
      <c r="G346" s="1532">
        <v>9714285.7142857146</v>
      </c>
      <c r="H346" s="1532">
        <f t="shared" si="20"/>
        <v>19428571.428571429</v>
      </c>
      <c r="I346" s="1532">
        <v>2</v>
      </c>
      <c r="J346" s="1562">
        <v>10200000</v>
      </c>
      <c r="K346" s="1562">
        <f t="shared" si="21"/>
        <v>20400000</v>
      </c>
      <c r="L346" s="1560">
        <f t="shared" si="19"/>
        <v>485714.28571428545</v>
      </c>
      <c r="M346" s="1658" t="s">
        <v>3333</v>
      </c>
      <c r="N346" s="1658" t="s">
        <v>3355</v>
      </c>
    </row>
    <row r="347" spans="1:14">
      <c r="A347" s="1681">
        <v>292</v>
      </c>
      <c r="B347" s="1682">
        <v>55</v>
      </c>
      <c r="C347" s="1683" t="s">
        <v>3423</v>
      </c>
      <c r="D347" s="1684" t="s">
        <v>3208</v>
      </c>
      <c r="E347" s="1662" t="s">
        <v>435</v>
      </c>
      <c r="F347" s="1534">
        <v>2</v>
      </c>
      <c r="G347" s="1534">
        <v>9714285.7142857146</v>
      </c>
      <c r="H347" s="1534">
        <f t="shared" si="20"/>
        <v>19428571.428571429</v>
      </c>
      <c r="I347" s="1534">
        <v>2</v>
      </c>
      <c r="J347" s="1631">
        <v>10200000</v>
      </c>
      <c r="K347" s="1631">
        <f t="shared" si="21"/>
        <v>20400000</v>
      </c>
      <c r="L347" s="1630">
        <f t="shared" si="19"/>
        <v>485714.28571428545</v>
      </c>
      <c r="M347" s="1685" t="s">
        <v>3333</v>
      </c>
      <c r="N347" s="1685" t="s">
        <v>3355</v>
      </c>
    </row>
    <row r="348" spans="1:14">
      <c r="A348" s="1501"/>
      <c r="B348" s="1546"/>
      <c r="C348" s="1535" t="s">
        <v>958</v>
      </c>
      <c r="D348" s="1686"/>
      <c r="E348" s="1686"/>
      <c r="F348" s="1687"/>
      <c r="G348" s="1687"/>
      <c r="H348" s="1688">
        <f>SUM(H293:H347)</f>
        <v>7320561115.2380953</v>
      </c>
      <c r="I348" s="1689"/>
      <c r="J348" s="1506"/>
      <c r="K348" s="1688">
        <f>SUM(K293:K347)</f>
        <v>7686589171</v>
      </c>
      <c r="L348" s="1688"/>
      <c r="M348" s="1510"/>
      <c r="N348" s="1511"/>
    </row>
    <row r="349" spans="1:14">
      <c r="A349" s="1512"/>
      <c r="B349" s="1550"/>
      <c r="C349" s="1514"/>
      <c r="D349" s="1550"/>
      <c r="E349" s="1550"/>
      <c r="F349" s="1585"/>
      <c r="G349" s="1585"/>
      <c r="H349" s="1585"/>
      <c r="I349" s="1643"/>
      <c r="J349" s="1516"/>
      <c r="K349" s="1690"/>
      <c r="L349" s="1690"/>
    </row>
    <row r="350" spans="1:14">
      <c r="A350" s="1512"/>
      <c r="B350" s="1550"/>
      <c r="C350" s="1514"/>
      <c r="D350" s="1550"/>
      <c r="E350" s="1550"/>
      <c r="F350" s="1585"/>
      <c r="G350" s="1585"/>
      <c r="H350" s="1585"/>
      <c r="I350" s="1643"/>
      <c r="J350" s="1516"/>
      <c r="K350" s="1690"/>
      <c r="L350" s="1690"/>
    </row>
    <row r="351" spans="1:14">
      <c r="A351" s="2216" t="s">
        <v>3424</v>
      </c>
      <c r="B351" s="2216"/>
      <c r="C351" s="2216"/>
      <c r="D351" s="2216"/>
      <c r="E351" s="2216"/>
      <c r="F351" s="2217"/>
      <c r="G351" s="2217"/>
      <c r="H351" s="2217"/>
      <c r="I351" s="2217"/>
      <c r="J351" s="2217"/>
      <c r="K351" s="2217"/>
      <c r="L351" s="1691"/>
    </row>
    <row r="352" spans="1:14" ht="27">
      <c r="A352" s="2197" t="s">
        <v>2901</v>
      </c>
      <c r="B352" s="2199" t="s">
        <v>2902</v>
      </c>
      <c r="C352" s="2201" t="s">
        <v>2607</v>
      </c>
      <c r="D352" s="2203" t="s">
        <v>2608</v>
      </c>
      <c r="E352" s="2199" t="s">
        <v>2609</v>
      </c>
      <c r="F352" s="2212" t="s">
        <v>2903</v>
      </c>
      <c r="G352" s="2212"/>
      <c r="H352" s="2212"/>
      <c r="I352" s="2212" t="s">
        <v>2904</v>
      </c>
      <c r="J352" s="2212"/>
      <c r="K352" s="2212"/>
      <c r="L352" s="1476" t="s">
        <v>2905</v>
      </c>
      <c r="M352" s="2197" t="s">
        <v>2906</v>
      </c>
      <c r="N352" s="2208" t="s">
        <v>2907</v>
      </c>
    </row>
    <row r="353" spans="1:14">
      <c r="A353" s="2198"/>
      <c r="B353" s="2218"/>
      <c r="C353" s="2210"/>
      <c r="D353" s="2211"/>
      <c r="E353" s="2200"/>
      <c r="F353" s="1477" t="s">
        <v>2908</v>
      </c>
      <c r="G353" s="1476" t="s">
        <v>2611</v>
      </c>
      <c r="H353" s="1476" t="s">
        <v>2612</v>
      </c>
      <c r="I353" s="1477" t="s">
        <v>2908</v>
      </c>
      <c r="J353" s="1476" t="s">
        <v>2611</v>
      </c>
      <c r="K353" s="1476" t="s">
        <v>2612</v>
      </c>
      <c r="L353" s="1476"/>
      <c r="M353" s="2198"/>
      <c r="N353" s="2209"/>
    </row>
    <row r="354" spans="1:14">
      <c r="A354" s="1480">
        <v>293</v>
      </c>
      <c r="B354" s="1692">
        <v>1</v>
      </c>
      <c r="C354" s="1693" t="s">
        <v>3425</v>
      </c>
      <c r="D354" s="1694" t="s">
        <v>3426</v>
      </c>
      <c r="E354" s="1695" t="s">
        <v>3427</v>
      </c>
      <c r="F354" s="1696">
        <v>300</v>
      </c>
      <c r="G354" s="1696">
        <v>2870000</v>
      </c>
      <c r="H354" s="1696">
        <f>F354*G354</f>
        <v>861000000</v>
      </c>
      <c r="I354" s="1696">
        <v>300</v>
      </c>
      <c r="J354" s="1696">
        <v>3013500</v>
      </c>
      <c r="K354" s="1696">
        <f>I354*J354</f>
        <v>904050000</v>
      </c>
      <c r="L354" s="1561">
        <f t="shared" ref="L354:L375" si="22">J354-G354</f>
        <v>143500</v>
      </c>
      <c r="M354" s="1697" t="s">
        <v>3428</v>
      </c>
      <c r="N354" s="1698" t="s">
        <v>3355</v>
      </c>
    </row>
    <row r="355" spans="1:14">
      <c r="A355" s="1699">
        <v>294</v>
      </c>
      <c r="B355" s="1700">
        <v>2</v>
      </c>
      <c r="C355" s="1701" t="s">
        <v>3429</v>
      </c>
      <c r="D355" s="1702" t="s">
        <v>3430</v>
      </c>
      <c r="E355" s="1703" t="s">
        <v>3427</v>
      </c>
      <c r="F355" s="1704">
        <v>40</v>
      </c>
      <c r="G355" s="1704">
        <v>8630000</v>
      </c>
      <c r="H355" s="1704">
        <f t="shared" ref="H355:H375" si="23">F355*G355</f>
        <v>345200000</v>
      </c>
      <c r="I355" s="1704">
        <v>40</v>
      </c>
      <c r="J355" s="1704">
        <v>9061500</v>
      </c>
      <c r="K355" s="1704">
        <f t="shared" ref="K355:K375" si="24">I355*J355</f>
        <v>362460000</v>
      </c>
      <c r="L355" s="1560">
        <f t="shared" si="22"/>
        <v>431500</v>
      </c>
      <c r="M355" s="1705" t="s">
        <v>3428</v>
      </c>
      <c r="N355" s="1706" t="s">
        <v>3355</v>
      </c>
    </row>
    <row r="356" spans="1:14">
      <c r="A356" s="1488">
        <v>295</v>
      </c>
      <c r="B356" s="1707">
        <v>3</v>
      </c>
      <c r="C356" s="1701" t="s">
        <v>3431</v>
      </c>
      <c r="D356" s="1702" t="s">
        <v>3430</v>
      </c>
      <c r="E356" s="1703" t="s">
        <v>3427</v>
      </c>
      <c r="F356" s="1704">
        <v>35</v>
      </c>
      <c r="G356" s="1704">
        <v>8745000</v>
      </c>
      <c r="H356" s="1704">
        <f t="shared" si="23"/>
        <v>306075000</v>
      </c>
      <c r="I356" s="1704">
        <v>35</v>
      </c>
      <c r="J356" s="1704">
        <v>9182250</v>
      </c>
      <c r="K356" s="1704">
        <f t="shared" si="24"/>
        <v>321378750</v>
      </c>
      <c r="L356" s="1560">
        <f t="shared" si="22"/>
        <v>437250</v>
      </c>
      <c r="M356" s="1705" t="s">
        <v>3428</v>
      </c>
      <c r="N356" s="1706" t="s">
        <v>3355</v>
      </c>
    </row>
    <row r="357" spans="1:14">
      <c r="A357" s="1488">
        <v>296</v>
      </c>
      <c r="B357" s="1707">
        <v>4</v>
      </c>
      <c r="C357" s="1701" t="s">
        <v>3432</v>
      </c>
      <c r="D357" s="1702" t="s">
        <v>3433</v>
      </c>
      <c r="E357" s="1703" t="s">
        <v>3427</v>
      </c>
      <c r="F357" s="1704">
        <v>170</v>
      </c>
      <c r="G357" s="1704">
        <v>4000000</v>
      </c>
      <c r="H357" s="1704">
        <f t="shared" si="23"/>
        <v>680000000</v>
      </c>
      <c r="I357" s="1704">
        <v>170</v>
      </c>
      <c r="J357" s="1704">
        <v>4200000</v>
      </c>
      <c r="K357" s="1704">
        <f t="shared" si="24"/>
        <v>714000000</v>
      </c>
      <c r="L357" s="1560">
        <f t="shared" si="22"/>
        <v>200000</v>
      </c>
      <c r="M357" s="1705" t="s">
        <v>3428</v>
      </c>
      <c r="N357" s="1706" t="s">
        <v>3355</v>
      </c>
    </row>
    <row r="358" spans="1:14">
      <c r="A358" s="1488">
        <v>297</v>
      </c>
      <c r="B358" s="1707">
        <v>5</v>
      </c>
      <c r="C358" s="1701" t="s">
        <v>3434</v>
      </c>
      <c r="D358" s="1702" t="s">
        <v>3433</v>
      </c>
      <c r="E358" s="1703" t="s">
        <v>3427</v>
      </c>
      <c r="F358" s="1704">
        <v>170</v>
      </c>
      <c r="G358" s="1704">
        <v>7600000</v>
      </c>
      <c r="H358" s="1704">
        <f t="shared" si="23"/>
        <v>1292000000</v>
      </c>
      <c r="I358" s="1704">
        <v>170</v>
      </c>
      <c r="J358" s="1704">
        <v>7980000</v>
      </c>
      <c r="K358" s="1704">
        <f t="shared" si="24"/>
        <v>1356600000</v>
      </c>
      <c r="L358" s="1560">
        <f t="shared" si="22"/>
        <v>380000</v>
      </c>
      <c r="M358" s="1705" t="s">
        <v>3428</v>
      </c>
      <c r="N358" s="1706" t="s">
        <v>3355</v>
      </c>
    </row>
    <row r="359" spans="1:14">
      <c r="A359" s="1488">
        <v>298</v>
      </c>
      <c r="B359" s="1707">
        <v>6</v>
      </c>
      <c r="C359" s="1701" t="s">
        <v>3435</v>
      </c>
      <c r="D359" s="1702" t="s">
        <v>3436</v>
      </c>
      <c r="E359" s="1703" t="s">
        <v>2055</v>
      </c>
      <c r="F359" s="1704">
        <v>12</v>
      </c>
      <c r="G359" s="1704">
        <v>4775000</v>
      </c>
      <c r="H359" s="1704">
        <f t="shared" si="23"/>
        <v>57300000</v>
      </c>
      <c r="I359" s="1704">
        <v>12</v>
      </c>
      <c r="J359" s="1704">
        <v>5013750</v>
      </c>
      <c r="K359" s="1704">
        <f t="shared" si="24"/>
        <v>60165000</v>
      </c>
      <c r="L359" s="1560">
        <f t="shared" si="22"/>
        <v>238750</v>
      </c>
      <c r="M359" s="1705" t="s">
        <v>3428</v>
      </c>
      <c r="N359" s="1706" t="s">
        <v>3355</v>
      </c>
    </row>
    <row r="360" spans="1:14">
      <c r="A360" s="1488">
        <v>299</v>
      </c>
      <c r="B360" s="1707">
        <v>7</v>
      </c>
      <c r="C360" s="1701" t="s">
        <v>3437</v>
      </c>
      <c r="D360" s="1702" t="s">
        <v>3438</v>
      </c>
      <c r="E360" s="1703" t="s">
        <v>3439</v>
      </c>
      <c r="F360" s="1704">
        <v>10</v>
      </c>
      <c r="G360" s="1704">
        <v>1200000</v>
      </c>
      <c r="H360" s="1704">
        <f t="shared" si="23"/>
        <v>12000000</v>
      </c>
      <c r="I360" s="1704">
        <v>10</v>
      </c>
      <c r="J360" s="1704">
        <v>1260000</v>
      </c>
      <c r="K360" s="1704">
        <f t="shared" si="24"/>
        <v>12600000</v>
      </c>
      <c r="L360" s="1560">
        <f t="shared" si="22"/>
        <v>60000</v>
      </c>
      <c r="M360" s="1705" t="s">
        <v>3428</v>
      </c>
      <c r="N360" s="1706" t="s">
        <v>3355</v>
      </c>
    </row>
    <row r="361" spans="1:14">
      <c r="A361" s="1488">
        <v>300</v>
      </c>
      <c r="B361" s="1707">
        <v>8</v>
      </c>
      <c r="C361" s="1701" t="s">
        <v>3440</v>
      </c>
      <c r="D361" s="1702" t="s">
        <v>3438</v>
      </c>
      <c r="E361" s="1703" t="s">
        <v>3439</v>
      </c>
      <c r="F361" s="1704">
        <v>10</v>
      </c>
      <c r="G361" s="1704">
        <v>546000</v>
      </c>
      <c r="H361" s="1704">
        <f t="shared" si="23"/>
        <v>5460000</v>
      </c>
      <c r="I361" s="1704">
        <v>10</v>
      </c>
      <c r="J361" s="1704">
        <v>573300</v>
      </c>
      <c r="K361" s="1704">
        <f t="shared" si="24"/>
        <v>5733000</v>
      </c>
      <c r="L361" s="1560">
        <f t="shared" si="22"/>
        <v>27300</v>
      </c>
      <c r="M361" s="1705" t="s">
        <v>3428</v>
      </c>
      <c r="N361" s="1706" t="s">
        <v>3355</v>
      </c>
    </row>
    <row r="362" spans="1:14">
      <c r="A362" s="1488">
        <v>301</v>
      </c>
      <c r="B362" s="1707">
        <v>9</v>
      </c>
      <c r="C362" s="1708" t="s">
        <v>3441</v>
      </c>
      <c r="D362" s="1702" t="s">
        <v>3442</v>
      </c>
      <c r="E362" s="1703" t="s">
        <v>3439</v>
      </c>
      <c r="F362" s="1704">
        <v>180000</v>
      </c>
      <c r="G362" s="1704">
        <v>2700</v>
      </c>
      <c r="H362" s="1704">
        <f t="shared" si="23"/>
        <v>486000000</v>
      </c>
      <c r="I362" s="1704">
        <v>180000</v>
      </c>
      <c r="J362" s="1704">
        <v>2835</v>
      </c>
      <c r="K362" s="1704">
        <f t="shared" si="24"/>
        <v>510300000</v>
      </c>
      <c r="L362" s="1560">
        <f t="shared" si="22"/>
        <v>135</v>
      </c>
      <c r="M362" s="1705" t="s">
        <v>3443</v>
      </c>
      <c r="N362" s="1706" t="s">
        <v>3355</v>
      </c>
    </row>
    <row r="363" spans="1:14" ht="18">
      <c r="A363" s="1488">
        <v>302</v>
      </c>
      <c r="B363" s="1707">
        <v>10</v>
      </c>
      <c r="C363" s="1709" t="s">
        <v>3444</v>
      </c>
      <c r="D363" s="1702" t="s">
        <v>3442</v>
      </c>
      <c r="E363" s="1703" t="s">
        <v>3439</v>
      </c>
      <c r="F363" s="1704">
        <v>360000</v>
      </c>
      <c r="G363" s="1704">
        <v>2700</v>
      </c>
      <c r="H363" s="1704">
        <f t="shared" si="23"/>
        <v>972000000</v>
      </c>
      <c r="I363" s="1704">
        <v>360000</v>
      </c>
      <c r="J363" s="1704">
        <v>2835</v>
      </c>
      <c r="K363" s="1704">
        <f t="shared" si="24"/>
        <v>1020600000</v>
      </c>
      <c r="L363" s="1560">
        <f t="shared" si="22"/>
        <v>135</v>
      </c>
      <c r="M363" s="1705" t="s">
        <v>3443</v>
      </c>
      <c r="N363" s="1706" t="s">
        <v>3355</v>
      </c>
    </row>
    <row r="364" spans="1:14" ht="18">
      <c r="A364" s="1488">
        <v>303</v>
      </c>
      <c r="B364" s="1707">
        <v>11</v>
      </c>
      <c r="C364" s="1701" t="s">
        <v>3445</v>
      </c>
      <c r="D364" s="1702" t="s">
        <v>3446</v>
      </c>
      <c r="E364" s="1703" t="s">
        <v>3439</v>
      </c>
      <c r="F364" s="1704">
        <v>100000</v>
      </c>
      <c r="G364" s="1704">
        <v>3000</v>
      </c>
      <c r="H364" s="1704">
        <f t="shared" si="23"/>
        <v>300000000</v>
      </c>
      <c r="I364" s="1704">
        <v>100000</v>
      </c>
      <c r="J364" s="1704">
        <v>3150</v>
      </c>
      <c r="K364" s="1704">
        <f t="shared" si="24"/>
        <v>315000000</v>
      </c>
      <c r="L364" s="1560">
        <f t="shared" si="22"/>
        <v>150</v>
      </c>
      <c r="M364" s="1705" t="s">
        <v>3443</v>
      </c>
      <c r="N364" s="1706" t="s">
        <v>3355</v>
      </c>
    </row>
    <row r="365" spans="1:14" ht="18">
      <c r="A365" s="1488">
        <v>304</v>
      </c>
      <c r="B365" s="1707">
        <v>12</v>
      </c>
      <c r="C365" s="1701" t="s">
        <v>3447</v>
      </c>
      <c r="D365" s="1702" t="s">
        <v>3442</v>
      </c>
      <c r="E365" s="1703" t="s">
        <v>3439</v>
      </c>
      <c r="F365" s="1704">
        <v>40000</v>
      </c>
      <c r="G365" s="1704">
        <v>2700</v>
      </c>
      <c r="H365" s="1704">
        <f t="shared" si="23"/>
        <v>108000000</v>
      </c>
      <c r="I365" s="1704">
        <v>40000</v>
      </c>
      <c r="J365" s="1704">
        <v>2835</v>
      </c>
      <c r="K365" s="1704">
        <f t="shared" si="24"/>
        <v>113400000</v>
      </c>
      <c r="L365" s="1560">
        <f t="shared" si="22"/>
        <v>135</v>
      </c>
      <c r="M365" s="1705" t="s">
        <v>3443</v>
      </c>
      <c r="N365" s="1706" t="s">
        <v>3355</v>
      </c>
    </row>
    <row r="366" spans="1:14">
      <c r="A366" s="1488">
        <v>305</v>
      </c>
      <c r="B366" s="1707">
        <v>13</v>
      </c>
      <c r="C366" s="1487" t="s">
        <v>3448</v>
      </c>
      <c r="D366" s="1710" t="s">
        <v>3449</v>
      </c>
      <c r="E366" s="1711" t="s">
        <v>3450</v>
      </c>
      <c r="F366" s="1704">
        <v>1000</v>
      </c>
      <c r="G366" s="1704">
        <v>188070.17142857143</v>
      </c>
      <c r="H366" s="1704">
        <f t="shared" si="23"/>
        <v>188070171.42857143</v>
      </c>
      <c r="I366" s="1704">
        <v>1000</v>
      </c>
      <c r="J366" s="1704">
        <f>4936842/25</f>
        <v>197473.68</v>
      </c>
      <c r="K366" s="1704">
        <f t="shared" si="24"/>
        <v>197473680</v>
      </c>
      <c r="L366" s="1560">
        <f t="shared" si="22"/>
        <v>9403.5085714285669</v>
      </c>
      <c r="M366" s="1705" t="s">
        <v>3451</v>
      </c>
      <c r="N366" s="1706" t="s">
        <v>3355</v>
      </c>
    </row>
    <row r="367" spans="1:14" ht="18">
      <c r="A367" s="1488">
        <v>306</v>
      </c>
      <c r="B367" s="1707">
        <v>14</v>
      </c>
      <c r="C367" s="1709" t="s">
        <v>3452</v>
      </c>
      <c r="D367" s="1702" t="s">
        <v>3453</v>
      </c>
      <c r="E367" s="1491" t="s">
        <v>192</v>
      </c>
      <c r="F367" s="1704">
        <v>24</v>
      </c>
      <c r="G367" s="1704">
        <v>4370000</v>
      </c>
      <c r="H367" s="1704">
        <f t="shared" si="23"/>
        <v>104880000</v>
      </c>
      <c r="I367" s="1704">
        <v>24</v>
      </c>
      <c r="J367" s="1704">
        <v>4588500</v>
      </c>
      <c r="K367" s="1704">
        <f t="shared" si="24"/>
        <v>110124000</v>
      </c>
      <c r="L367" s="1560">
        <f t="shared" si="22"/>
        <v>218500</v>
      </c>
      <c r="M367" s="1705" t="s">
        <v>3454</v>
      </c>
      <c r="N367" s="1706" t="s">
        <v>3355</v>
      </c>
    </row>
    <row r="368" spans="1:14" ht="18">
      <c r="A368" s="1488">
        <v>307</v>
      </c>
      <c r="B368" s="1707">
        <v>15</v>
      </c>
      <c r="C368" s="1709" t="s">
        <v>3455</v>
      </c>
      <c r="D368" s="1702" t="s">
        <v>3453</v>
      </c>
      <c r="E368" s="1491" t="s">
        <v>192</v>
      </c>
      <c r="F368" s="1704">
        <v>24</v>
      </c>
      <c r="G368" s="1704">
        <v>4610000</v>
      </c>
      <c r="H368" s="1704">
        <f t="shared" si="23"/>
        <v>110640000</v>
      </c>
      <c r="I368" s="1704">
        <v>24</v>
      </c>
      <c r="J368" s="1704">
        <v>4840500</v>
      </c>
      <c r="K368" s="1704">
        <f t="shared" si="24"/>
        <v>116172000</v>
      </c>
      <c r="L368" s="1560">
        <f t="shared" si="22"/>
        <v>230500</v>
      </c>
      <c r="M368" s="1705" t="s">
        <v>3454</v>
      </c>
      <c r="N368" s="1706" t="s">
        <v>3355</v>
      </c>
    </row>
    <row r="369" spans="1:14" ht="18">
      <c r="A369" s="1488">
        <v>308</v>
      </c>
      <c r="B369" s="1707">
        <v>16</v>
      </c>
      <c r="C369" s="1709" t="s">
        <v>3456</v>
      </c>
      <c r="D369" s="1702" t="s">
        <v>3453</v>
      </c>
      <c r="E369" s="1491" t="s">
        <v>192</v>
      </c>
      <c r="F369" s="1704">
        <v>24</v>
      </c>
      <c r="G369" s="1704">
        <v>4610000</v>
      </c>
      <c r="H369" s="1704">
        <f t="shared" si="23"/>
        <v>110640000</v>
      </c>
      <c r="I369" s="1704">
        <v>24</v>
      </c>
      <c r="J369" s="1704">
        <v>4840500</v>
      </c>
      <c r="K369" s="1704">
        <f t="shared" si="24"/>
        <v>116172000</v>
      </c>
      <c r="L369" s="1560">
        <f t="shared" si="22"/>
        <v>230500</v>
      </c>
      <c r="M369" s="1705" t="s">
        <v>3454</v>
      </c>
      <c r="N369" s="1706" t="s">
        <v>3355</v>
      </c>
    </row>
    <row r="370" spans="1:14" ht="18">
      <c r="A370" s="1488">
        <v>309</v>
      </c>
      <c r="B370" s="1707">
        <v>17</v>
      </c>
      <c r="C370" s="1701" t="s">
        <v>3457</v>
      </c>
      <c r="D370" s="1702" t="s">
        <v>3453</v>
      </c>
      <c r="E370" s="1491" t="s">
        <v>192</v>
      </c>
      <c r="F370" s="1704">
        <v>180</v>
      </c>
      <c r="G370" s="1704">
        <v>4230000</v>
      </c>
      <c r="H370" s="1704">
        <f t="shared" si="23"/>
        <v>761400000</v>
      </c>
      <c r="I370" s="1704">
        <v>180</v>
      </c>
      <c r="J370" s="1704">
        <v>4441500</v>
      </c>
      <c r="K370" s="1704">
        <f t="shared" si="24"/>
        <v>799470000</v>
      </c>
      <c r="L370" s="1560">
        <f t="shared" si="22"/>
        <v>211500</v>
      </c>
      <c r="M370" s="1705" t="s">
        <v>3454</v>
      </c>
      <c r="N370" s="1706" t="s">
        <v>3355</v>
      </c>
    </row>
    <row r="371" spans="1:14" ht="18">
      <c r="A371" s="1488">
        <v>310</v>
      </c>
      <c r="B371" s="1707">
        <v>18</v>
      </c>
      <c r="C371" s="1709" t="s">
        <v>3458</v>
      </c>
      <c r="D371" s="1712" t="s">
        <v>3453</v>
      </c>
      <c r="E371" s="1500" t="s">
        <v>192</v>
      </c>
      <c r="F371" s="1704">
        <v>180</v>
      </c>
      <c r="G371" s="1704">
        <v>2658000</v>
      </c>
      <c r="H371" s="1704">
        <f t="shared" si="23"/>
        <v>478440000</v>
      </c>
      <c r="I371" s="1704">
        <v>180</v>
      </c>
      <c r="J371" s="1704">
        <v>2790900</v>
      </c>
      <c r="K371" s="1704">
        <f t="shared" si="24"/>
        <v>502362000</v>
      </c>
      <c r="L371" s="1560">
        <f t="shared" si="22"/>
        <v>132900</v>
      </c>
      <c r="M371" s="1705" t="s">
        <v>3454</v>
      </c>
      <c r="N371" s="1706" t="s">
        <v>3355</v>
      </c>
    </row>
    <row r="372" spans="1:14">
      <c r="A372" s="1488">
        <v>311</v>
      </c>
      <c r="B372" s="1707">
        <v>19</v>
      </c>
      <c r="C372" s="1709" t="s">
        <v>3459</v>
      </c>
      <c r="D372" s="1713" t="s">
        <v>3460</v>
      </c>
      <c r="E372" s="1714" t="s">
        <v>447</v>
      </c>
      <c r="F372" s="1704">
        <v>1000</v>
      </c>
      <c r="G372" s="1704">
        <v>75187.619047619039</v>
      </c>
      <c r="H372" s="1704">
        <f t="shared" si="23"/>
        <v>75187619.047619045</v>
      </c>
      <c r="I372" s="1704">
        <v>1000</v>
      </c>
      <c r="J372" s="1704">
        <v>78947</v>
      </c>
      <c r="K372" s="1704">
        <f t="shared" si="24"/>
        <v>78947000</v>
      </c>
      <c r="L372" s="1560">
        <f t="shared" si="22"/>
        <v>3759.3809523809614</v>
      </c>
      <c r="M372" s="1705" t="s">
        <v>3461</v>
      </c>
      <c r="N372" s="1706" t="s">
        <v>3355</v>
      </c>
    </row>
    <row r="373" spans="1:14">
      <c r="A373" s="1488">
        <v>312</v>
      </c>
      <c r="B373" s="1707">
        <v>20</v>
      </c>
      <c r="C373" s="1709" t="s">
        <v>3462</v>
      </c>
      <c r="D373" s="1713" t="s">
        <v>3463</v>
      </c>
      <c r="E373" s="1714" t="s">
        <v>447</v>
      </c>
      <c r="F373" s="1704">
        <v>10000</v>
      </c>
      <c r="G373" s="1704">
        <v>116290.47619047618</v>
      </c>
      <c r="H373" s="1704">
        <f t="shared" si="23"/>
        <v>1162904761.9047618</v>
      </c>
      <c r="I373" s="1704">
        <v>10000</v>
      </c>
      <c r="J373" s="1704">
        <v>122105</v>
      </c>
      <c r="K373" s="1704">
        <f t="shared" si="24"/>
        <v>1221050000</v>
      </c>
      <c r="L373" s="1560">
        <f t="shared" si="22"/>
        <v>5814.5238095238165</v>
      </c>
      <c r="M373" s="1705" t="s">
        <v>3461</v>
      </c>
      <c r="N373" s="1706" t="s">
        <v>3355</v>
      </c>
    </row>
    <row r="374" spans="1:14">
      <c r="A374" s="1715">
        <v>313</v>
      </c>
      <c r="B374" s="1716">
        <v>21</v>
      </c>
      <c r="C374" s="1709" t="s">
        <v>3464</v>
      </c>
      <c r="D374" s="1713" t="s">
        <v>3463</v>
      </c>
      <c r="E374" s="1714" t="s">
        <v>447</v>
      </c>
      <c r="F374" s="1704">
        <v>5000</v>
      </c>
      <c r="G374" s="1704">
        <v>117292.38095238095</v>
      </c>
      <c r="H374" s="1704">
        <f t="shared" si="23"/>
        <v>586461904.76190472</v>
      </c>
      <c r="I374" s="1704">
        <v>5000</v>
      </c>
      <c r="J374" s="1704">
        <v>123157</v>
      </c>
      <c r="K374" s="1704">
        <f t="shared" si="24"/>
        <v>615785000</v>
      </c>
      <c r="L374" s="1560">
        <f t="shared" si="22"/>
        <v>5864.6190476190532</v>
      </c>
      <c r="M374" s="1705" t="s">
        <v>3461</v>
      </c>
      <c r="N374" s="1706" t="s">
        <v>3355</v>
      </c>
    </row>
    <row r="375" spans="1:14">
      <c r="A375" s="1488">
        <v>314</v>
      </c>
      <c r="B375" s="1707">
        <v>22</v>
      </c>
      <c r="C375" s="1709" t="s">
        <v>3465</v>
      </c>
      <c r="D375" s="1717" t="s">
        <v>3466</v>
      </c>
      <c r="E375" s="1718" t="s">
        <v>447</v>
      </c>
      <c r="F375" s="1719">
        <v>2000</v>
      </c>
      <c r="G375" s="1719">
        <v>149373.33333333331</v>
      </c>
      <c r="H375" s="1719">
        <f t="shared" si="23"/>
        <v>298746666.66666663</v>
      </c>
      <c r="I375" s="1719">
        <v>2000</v>
      </c>
      <c r="J375" s="1719">
        <v>156842</v>
      </c>
      <c r="K375" s="1719">
        <f t="shared" si="24"/>
        <v>313684000</v>
      </c>
      <c r="L375" s="1581">
        <f t="shared" si="22"/>
        <v>7468.6666666666861</v>
      </c>
      <c r="M375" s="1720" t="s">
        <v>3461</v>
      </c>
      <c r="N375" s="1721" t="s">
        <v>3355</v>
      </c>
    </row>
    <row r="376" spans="1:14">
      <c r="A376" s="1722"/>
      <c r="B376" s="1722"/>
      <c r="C376" s="1722" t="s">
        <v>958</v>
      </c>
      <c r="D376" s="1536"/>
      <c r="E376" s="1536"/>
      <c r="F376" s="1723"/>
      <c r="G376" s="1723"/>
      <c r="H376" s="1724">
        <f>SUM(H354:H375)</f>
        <v>9302406123.8095226</v>
      </c>
      <c r="I376" s="1508"/>
      <c r="J376" s="1725"/>
      <c r="K376" s="1724">
        <f>SUM(K354:K375)</f>
        <v>9767526430</v>
      </c>
      <c r="L376" s="1726"/>
      <c r="M376" s="1726"/>
      <c r="N376" s="1511"/>
    </row>
    <row r="377" spans="1:14">
      <c r="A377" s="1512"/>
      <c r="B377" s="1550"/>
      <c r="C377" s="1588"/>
      <c r="D377" s="1515"/>
      <c r="E377" s="1515"/>
      <c r="F377" s="1589"/>
      <c r="G377" s="1589"/>
      <c r="H377" s="1589"/>
      <c r="I377" s="1517"/>
      <c r="J377" s="1586"/>
      <c r="K377" s="1586"/>
      <c r="L377" s="1586"/>
    </row>
    <row r="378" spans="1:14">
      <c r="A378" s="1512"/>
      <c r="B378" s="1550"/>
      <c r="C378" s="1588"/>
      <c r="D378" s="1515"/>
      <c r="E378" s="1515"/>
      <c r="F378" s="1589"/>
      <c r="G378" s="1589"/>
      <c r="H378" s="1589"/>
      <c r="I378" s="1517"/>
      <c r="J378" s="1586"/>
      <c r="K378" s="1586"/>
      <c r="L378" s="1586"/>
    </row>
    <row r="379" spans="1:14">
      <c r="A379" s="1512"/>
      <c r="B379" s="1550"/>
      <c r="C379" s="1588"/>
      <c r="D379" s="1515"/>
      <c r="E379" s="1515"/>
      <c r="F379" s="1589"/>
      <c r="G379" s="1589"/>
      <c r="H379" s="1589"/>
      <c r="I379" s="1517"/>
      <c r="J379" s="1586"/>
      <c r="K379" s="1586"/>
      <c r="L379" s="1586"/>
    </row>
    <row r="380" spans="1:14">
      <c r="A380" s="1512"/>
      <c r="B380" s="1550"/>
      <c r="C380" s="1588"/>
      <c r="D380" s="1515"/>
      <c r="E380" s="1515"/>
      <c r="F380" s="1589"/>
      <c r="G380" s="1589"/>
      <c r="H380" s="1589"/>
      <c r="I380" s="1517"/>
      <c r="J380" s="1586"/>
      <c r="K380" s="1586"/>
      <c r="L380" s="1586"/>
    </row>
    <row r="381" spans="1:14">
      <c r="C381" s="1465"/>
    </row>
    <row r="382" spans="1:14">
      <c r="A382" s="2196" t="s">
        <v>3467</v>
      </c>
      <c r="B382" s="2196"/>
      <c r="C382" s="2196"/>
      <c r="D382" s="2196"/>
      <c r="E382" s="2196"/>
      <c r="F382" s="2196"/>
      <c r="G382" s="2196"/>
      <c r="H382" s="2196"/>
      <c r="I382" s="2196"/>
      <c r="J382" s="2196"/>
      <c r="K382" s="2196"/>
      <c r="L382" s="1475"/>
    </row>
    <row r="383" spans="1:14">
      <c r="C383" s="1465"/>
    </row>
    <row r="384" spans="1:14" ht="27">
      <c r="A384" s="2197" t="s">
        <v>2901</v>
      </c>
      <c r="B384" s="2199" t="s">
        <v>2902</v>
      </c>
      <c r="C384" s="2201" t="s">
        <v>2607</v>
      </c>
      <c r="D384" s="2203" t="s">
        <v>2608</v>
      </c>
      <c r="E384" s="2199" t="s">
        <v>2609</v>
      </c>
      <c r="F384" s="2205" t="s">
        <v>2903</v>
      </c>
      <c r="G384" s="2206"/>
      <c r="H384" s="2207"/>
      <c r="I384" s="2205" t="s">
        <v>2904</v>
      </c>
      <c r="J384" s="2206"/>
      <c r="K384" s="2207"/>
      <c r="L384" s="1476" t="s">
        <v>2905</v>
      </c>
      <c r="M384" s="2197" t="s">
        <v>2906</v>
      </c>
      <c r="N384" s="2208" t="s">
        <v>2907</v>
      </c>
    </row>
    <row r="385" spans="1:14">
      <c r="A385" s="2198"/>
      <c r="B385" s="2200"/>
      <c r="C385" s="2210"/>
      <c r="D385" s="2211"/>
      <c r="E385" s="2200"/>
      <c r="F385" s="1477" t="s">
        <v>2908</v>
      </c>
      <c r="G385" s="1476" t="s">
        <v>2611</v>
      </c>
      <c r="H385" s="1476" t="s">
        <v>2612</v>
      </c>
      <c r="I385" s="1477" t="s">
        <v>2908</v>
      </c>
      <c r="J385" s="1476" t="s">
        <v>2611</v>
      </c>
      <c r="K385" s="1476" t="s">
        <v>2612</v>
      </c>
      <c r="L385" s="1476"/>
      <c r="M385" s="2198"/>
      <c r="N385" s="2209"/>
    </row>
    <row r="386" spans="1:14">
      <c r="A386" s="1480">
        <v>315</v>
      </c>
      <c r="B386" s="1727">
        <v>1</v>
      </c>
      <c r="C386" s="1728" t="s">
        <v>3468</v>
      </c>
      <c r="D386" s="1491" t="s">
        <v>3469</v>
      </c>
      <c r="E386" s="1699" t="s">
        <v>435</v>
      </c>
      <c r="F386" s="1729">
        <v>1000</v>
      </c>
      <c r="G386" s="1729">
        <v>800000</v>
      </c>
      <c r="H386" s="1729">
        <f t="shared" ref="H386:H392" si="25">G386*F386</f>
        <v>800000000</v>
      </c>
      <c r="I386" s="1729">
        <v>1000</v>
      </c>
      <c r="J386" s="1729">
        <v>800000</v>
      </c>
      <c r="K386" s="1729">
        <f t="shared" ref="K386:K392" si="26">I386*J386</f>
        <v>800000000</v>
      </c>
      <c r="L386" s="1729">
        <f t="shared" ref="L386:L392" si="27">J386-G386</f>
        <v>0</v>
      </c>
      <c r="M386" s="1729" t="s">
        <v>3470</v>
      </c>
      <c r="N386" s="1730" t="s">
        <v>3471</v>
      </c>
    </row>
    <row r="387" spans="1:14">
      <c r="A387" s="1699">
        <v>316</v>
      </c>
      <c r="B387" s="1731">
        <v>2</v>
      </c>
      <c r="C387" s="1487" t="s">
        <v>3472</v>
      </c>
      <c r="D387" s="1491" t="s">
        <v>3473</v>
      </c>
      <c r="E387" s="1488" t="s">
        <v>435</v>
      </c>
      <c r="F387" s="1732">
        <v>500</v>
      </c>
      <c r="G387" s="1732">
        <v>3800000</v>
      </c>
      <c r="H387" s="1732">
        <f t="shared" si="25"/>
        <v>1900000000</v>
      </c>
      <c r="I387" s="1732">
        <v>500</v>
      </c>
      <c r="J387" s="1732">
        <v>3800000</v>
      </c>
      <c r="K387" s="1732">
        <f t="shared" si="26"/>
        <v>1900000000</v>
      </c>
      <c r="L387" s="1732">
        <f t="shared" si="27"/>
        <v>0</v>
      </c>
      <c r="M387" s="1732" t="s">
        <v>3474</v>
      </c>
      <c r="N387" s="1733" t="s">
        <v>3471</v>
      </c>
    </row>
    <row r="388" spans="1:14">
      <c r="A388" s="1488">
        <v>317</v>
      </c>
      <c r="B388" s="1731">
        <v>3</v>
      </c>
      <c r="C388" s="1487" t="s">
        <v>3475</v>
      </c>
      <c r="D388" s="1491" t="s">
        <v>3476</v>
      </c>
      <c r="E388" s="1488" t="s">
        <v>435</v>
      </c>
      <c r="F388" s="1732">
        <v>3</v>
      </c>
      <c r="G388" s="1732">
        <v>3500000</v>
      </c>
      <c r="H388" s="1732">
        <f t="shared" si="25"/>
        <v>10500000</v>
      </c>
      <c r="I388" s="1732">
        <v>3</v>
      </c>
      <c r="J388" s="1732">
        <v>3500000</v>
      </c>
      <c r="K388" s="1732">
        <f t="shared" si="26"/>
        <v>10500000</v>
      </c>
      <c r="L388" s="1732">
        <f t="shared" si="27"/>
        <v>0</v>
      </c>
      <c r="M388" s="1732" t="s">
        <v>3474</v>
      </c>
      <c r="N388" s="1733" t="s">
        <v>3471</v>
      </c>
    </row>
    <row r="389" spans="1:14">
      <c r="A389" s="1488">
        <v>318</v>
      </c>
      <c r="B389" s="1731">
        <v>4</v>
      </c>
      <c r="C389" s="1487" t="s">
        <v>3477</v>
      </c>
      <c r="D389" s="1491" t="s">
        <v>3478</v>
      </c>
      <c r="E389" s="1488" t="s">
        <v>435</v>
      </c>
      <c r="F389" s="1732">
        <v>5</v>
      </c>
      <c r="G389" s="1732">
        <v>1900000</v>
      </c>
      <c r="H389" s="1732">
        <f t="shared" si="25"/>
        <v>9500000</v>
      </c>
      <c r="I389" s="1732">
        <v>5</v>
      </c>
      <c r="J389" s="1732">
        <v>1900000</v>
      </c>
      <c r="K389" s="1732">
        <f t="shared" si="26"/>
        <v>9500000</v>
      </c>
      <c r="L389" s="1732">
        <f t="shared" si="27"/>
        <v>0</v>
      </c>
      <c r="M389" s="1732" t="s">
        <v>3474</v>
      </c>
      <c r="N389" s="1733" t="s">
        <v>3471</v>
      </c>
    </row>
    <row r="390" spans="1:14">
      <c r="A390" s="1488">
        <v>319</v>
      </c>
      <c r="B390" s="1731">
        <v>5</v>
      </c>
      <c r="C390" s="1487" t="s">
        <v>3479</v>
      </c>
      <c r="D390" s="1491" t="s">
        <v>3480</v>
      </c>
      <c r="E390" s="1488" t="s">
        <v>435</v>
      </c>
      <c r="F390" s="1732">
        <v>3</v>
      </c>
      <c r="G390" s="1732">
        <v>1500000</v>
      </c>
      <c r="H390" s="1732">
        <f t="shared" si="25"/>
        <v>4500000</v>
      </c>
      <c r="I390" s="1732">
        <v>3</v>
      </c>
      <c r="J390" s="1732">
        <v>1500000</v>
      </c>
      <c r="K390" s="1732">
        <f t="shared" si="26"/>
        <v>4500000</v>
      </c>
      <c r="L390" s="1732">
        <f t="shared" si="27"/>
        <v>0</v>
      </c>
      <c r="M390" s="1732" t="s">
        <v>3474</v>
      </c>
      <c r="N390" s="1733" t="s">
        <v>3471</v>
      </c>
    </row>
    <row r="391" spans="1:14">
      <c r="A391" s="1488">
        <v>320</v>
      </c>
      <c r="B391" s="1734">
        <v>6</v>
      </c>
      <c r="C391" s="1728" t="s">
        <v>3481</v>
      </c>
      <c r="D391" s="1500" t="s">
        <v>3482</v>
      </c>
      <c r="E391" s="1735" t="s">
        <v>435</v>
      </c>
      <c r="F391" s="1732">
        <v>3</v>
      </c>
      <c r="G391" s="1732">
        <v>1500000</v>
      </c>
      <c r="H391" s="1732">
        <f t="shared" si="25"/>
        <v>4500000</v>
      </c>
      <c r="I391" s="1732">
        <v>3</v>
      </c>
      <c r="J391" s="1732">
        <v>1500000</v>
      </c>
      <c r="K391" s="1732">
        <f t="shared" si="26"/>
        <v>4500000</v>
      </c>
      <c r="L391" s="1732">
        <f t="shared" si="27"/>
        <v>0</v>
      </c>
      <c r="M391" s="1732" t="s">
        <v>3474</v>
      </c>
      <c r="N391" s="1733" t="s">
        <v>3471</v>
      </c>
    </row>
    <row r="392" spans="1:14">
      <c r="A392" s="1480">
        <v>321</v>
      </c>
      <c r="B392" s="1716">
        <v>7</v>
      </c>
      <c r="C392" s="1728" t="s">
        <v>3483</v>
      </c>
      <c r="D392" s="1500" t="s">
        <v>3439</v>
      </c>
      <c r="E392" s="1735" t="s">
        <v>3439</v>
      </c>
      <c r="F392" s="1732">
        <v>50000</v>
      </c>
      <c r="G392" s="1732">
        <v>2200</v>
      </c>
      <c r="H392" s="1732">
        <f t="shared" si="25"/>
        <v>110000000</v>
      </c>
      <c r="I392" s="1736">
        <v>50000</v>
      </c>
      <c r="J392" s="1736">
        <v>2200</v>
      </c>
      <c r="K392" s="1736">
        <f t="shared" si="26"/>
        <v>110000000</v>
      </c>
      <c r="L392" s="1736">
        <f t="shared" si="27"/>
        <v>0</v>
      </c>
      <c r="M392" s="1736" t="s">
        <v>3484</v>
      </c>
      <c r="N392" s="1737" t="s">
        <v>3471</v>
      </c>
    </row>
    <row r="393" spans="1:14">
      <c r="A393" s="1501"/>
      <c r="B393" s="1546"/>
      <c r="C393" s="1535" t="s">
        <v>958</v>
      </c>
      <c r="D393" s="1536"/>
      <c r="E393" s="1536"/>
      <c r="F393" s="1738"/>
      <c r="G393" s="1738"/>
      <c r="H393" s="1547">
        <f>SUM(H386:H392)</f>
        <v>2839000000</v>
      </c>
      <c r="I393" s="1667"/>
      <c r="J393" s="1583"/>
      <c r="K393" s="1547">
        <f>SUM(K386:K392)</f>
        <v>2839000000</v>
      </c>
      <c r="L393" s="1739"/>
      <c r="M393" s="1510"/>
      <c r="N393" s="1511"/>
    </row>
    <row r="394" spans="1:14">
      <c r="A394" s="1512"/>
      <c r="B394" s="1550"/>
      <c r="C394" s="1514"/>
      <c r="D394" s="1515"/>
      <c r="E394" s="1515"/>
      <c r="F394" s="1589"/>
      <c r="G394" s="1589"/>
      <c r="H394" s="1589"/>
      <c r="I394" s="1643"/>
      <c r="J394" s="1585"/>
      <c r="K394" s="1585"/>
      <c r="L394" s="1585"/>
    </row>
    <row r="395" spans="1:14">
      <c r="A395" s="1512"/>
      <c r="B395" s="1550"/>
      <c r="C395" s="1514"/>
      <c r="D395" s="1515"/>
      <c r="E395" s="1515"/>
      <c r="F395" s="1589"/>
      <c r="G395" s="1589"/>
      <c r="H395" s="1589"/>
      <c r="I395" s="1643"/>
      <c r="J395" s="1585"/>
      <c r="K395" s="1585"/>
      <c r="L395" s="1585"/>
    </row>
    <row r="396" spans="1:14">
      <c r="A396" s="1512"/>
      <c r="B396" s="1550"/>
      <c r="C396" s="1514"/>
      <c r="D396" s="1515"/>
      <c r="E396" s="1515"/>
      <c r="F396" s="1589"/>
      <c r="G396" s="1589"/>
      <c r="H396" s="1589"/>
      <c r="I396" s="1643"/>
      <c r="J396" s="1585"/>
      <c r="K396" s="1585"/>
      <c r="L396" s="1585"/>
    </row>
    <row r="397" spans="1:14">
      <c r="A397" s="1512"/>
      <c r="B397" s="1550"/>
      <c r="C397" s="1514"/>
      <c r="D397" s="1515"/>
      <c r="E397" s="1515"/>
      <c r="F397" s="1589"/>
      <c r="G397" s="1589"/>
      <c r="H397" s="1589"/>
      <c r="I397" s="1643"/>
      <c r="J397" s="1585"/>
      <c r="K397" s="1585"/>
      <c r="L397" s="1585"/>
    </row>
    <row r="398" spans="1:14" s="1741" customFormat="1">
      <c r="A398" s="2219" t="s">
        <v>3485</v>
      </c>
      <c r="B398" s="2219"/>
      <c r="C398" s="2219"/>
      <c r="D398" s="2219"/>
      <c r="E398" s="2219"/>
      <c r="F398" s="2219"/>
      <c r="G398" s="2219"/>
      <c r="H398" s="2219"/>
      <c r="I398" s="2219"/>
      <c r="J398" s="2219"/>
      <c r="K398" s="2219"/>
      <c r="L398" s="1740"/>
      <c r="N398" s="1742"/>
    </row>
    <row r="399" spans="1:14" s="1741" customFormat="1">
      <c r="A399" s="1743"/>
      <c r="B399" s="1744"/>
      <c r="C399" s="1745"/>
      <c r="D399" s="1746"/>
      <c r="E399" s="1746"/>
      <c r="F399" s="1747"/>
      <c r="G399" s="1747"/>
      <c r="H399" s="1747"/>
      <c r="I399" s="1748"/>
      <c r="J399" s="1749"/>
      <c r="K399" s="1749"/>
      <c r="L399" s="1749"/>
      <c r="N399" s="1742"/>
    </row>
    <row r="400" spans="1:14" s="1741" customFormat="1">
      <c r="A400" s="1750"/>
      <c r="B400" s="1751"/>
      <c r="C400" s="1752"/>
      <c r="D400" s="1751"/>
      <c r="E400" s="1751"/>
      <c r="F400" s="1753"/>
      <c r="G400" s="1753"/>
      <c r="H400" s="1753"/>
      <c r="I400" s="1754"/>
      <c r="J400" s="1753"/>
      <c r="K400" s="1753"/>
      <c r="L400" s="1753"/>
      <c r="N400" s="1742"/>
    </row>
    <row r="401" spans="1:14" s="1741" customFormat="1" ht="27">
      <c r="A401" s="2220" t="s">
        <v>2901</v>
      </c>
      <c r="B401" s="2222" t="s">
        <v>2902</v>
      </c>
      <c r="C401" s="2224" t="s">
        <v>2607</v>
      </c>
      <c r="D401" s="2226" t="s">
        <v>2608</v>
      </c>
      <c r="E401" s="2222" t="s">
        <v>2609</v>
      </c>
      <c r="F401" s="2228" t="s">
        <v>2903</v>
      </c>
      <c r="G401" s="2229"/>
      <c r="H401" s="2230"/>
      <c r="I401" s="2228" t="s">
        <v>2904</v>
      </c>
      <c r="J401" s="2229"/>
      <c r="K401" s="2230"/>
      <c r="L401" s="1755" t="s">
        <v>2905</v>
      </c>
      <c r="M401" s="1756" t="s">
        <v>2906</v>
      </c>
      <c r="N401" s="1742"/>
    </row>
    <row r="402" spans="1:14" s="1741" customFormat="1">
      <c r="A402" s="2221"/>
      <c r="B402" s="2223"/>
      <c r="C402" s="2225"/>
      <c r="D402" s="2227"/>
      <c r="E402" s="2223"/>
      <c r="F402" s="1757" t="s">
        <v>2908</v>
      </c>
      <c r="G402" s="1755" t="s">
        <v>2611</v>
      </c>
      <c r="H402" s="1758" t="s">
        <v>2612</v>
      </c>
      <c r="I402" s="1757" t="s">
        <v>2908</v>
      </c>
      <c r="J402" s="1755" t="s">
        <v>2611</v>
      </c>
      <c r="K402" s="1758" t="s">
        <v>2612</v>
      </c>
      <c r="L402" s="1759"/>
      <c r="N402" s="1742"/>
    </row>
    <row r="403" spans="1:14" s="1741" customFormat="1" ht="18">
      <c r="A403" s="1760">
        <v>322</v>
      </c>
      <c r="B403" s="1761">
        <v>1</v>
      </c>
      <c r="C403" s="1762" t="s">
        <v>3486</v>
      </c>
      <c r="D403" s="1763" t="s">
        <v>3487</v>
      </c>
      <c r="E403" s="1763" t="s">
        <v>3488</v>
      </c>
      <c r="F403" s="1764"/>
      <c r="G403" s="1764"/>
      <c r="H403" s="1764"/>
      <c r="I403" s="1765">
        <v>6000</v>
      </c>
      <c r="J403" s="1766">
        <v>27000</v>
      </c>
      <c r="K403" s="1767">
        <f>I403*J403</f>
        <v>162000000</v>
      </c>
      <c r="L403" s="1768">
        <f t="shared" ref="L403:L410" si="28">J403-G403</f>
        <v>27000</v>
      </c>
      <c r="N403" s="1742"/>
    </row>
    <row r="404" spans="1:14" s="1741" customFormat="1" ht="18">
      <c r="A404" s="1769">
        <v>323</v>
      </c>
      <c r="B404" s="1770">
        <v>2</v>
      </c>
      <c r="C404" s="1771" t="s">
        <v>3489</v>
      </c>
      <c r="D404" s="1772" t="s">
        <v>3490</v>
      </c>
      <c r="E404" s="1772" t="s">
        <v>3488</v>
      </c>
      <c r="F404" s="1768"/>
      <c r="G404" s="1768"/>
      <c r="H404" s="1768"/>
      <c r="I404" s="1773">
        <v>10000</v>
      </c>
      <c r="J404" s="1774">
        <v>17500</v>
      </c>
      <c r="K404" s="1767">
        <f t="shared" ref="K404:K410" si="29">I404*J404</f>
        <v>175000000</v>
      </c>
      <c r="L404" s="1768">
        <f t="shared" si="28"/>
        <v>17500</v>
      </c>
      <c r="N404" s="1742"/>
    </row>
    <row r="405" spans="1:14" s="1741" customFormat="1" ht="18.75">
      <c r="A405" s="1775">
        <v>324</v>
      </c>
      <c r="B405" s="1770">
        <v>3</v>
      </c>
      <c r="C405" s="1771" t="s">
        <v>3491</v>
      </c>
      <c r="D405" s="1772" t="s">
        <v>3492</v>
      </c>
      <c r="E405" s="1772" t="s">
        <v>3488</v>
      </c>
      <c r="F405" s="1768"/>
      <c r="G405" s="1768"/>
      <c r="H405" s="1768"/>
      <c r="I405" s="1773">
        <v>6000</v>
      </c>
      <c r="J405" s="1774">
        <v>47500</v>
      </c>
      <c r="K405" s="1767">
        <f t="shared" si="29"/>
        <v>285000000</v>
      </c>
      <c r="L405" s="1768">
        <f t="shared" si="28"/>
        <v>47500</v>
      </c>
      <c r="N405" s="1742"/>
    </row>
    <row r="406" spans="1:14" s="1741" customFormat="1" ht="18.75">
      <c r="A406" s="1775">
        <v>325</v>
      </c>
      <c r="B406" s="1770">
        <v>4</v>
      </c>
      <c r="C406" s="1771" t="s">
        <v>3493</v>
      </c>
      <c r="D406" s="1772" t="s">
        <v>3492</v>
      </c>
      <c r="E406" s="1772" t="s">
        <v>3488</v>
      </c>
      <c r="F406" s="1768"/>
      <c r="G406" s="1768"/>
      <c r="H406" s="1768"/>
      <c r="I406" s="1773">
        <v>6000</v>
      </c>
      <c r="J406" s="1774">
        <v>58000</v>
      </c>
      <c r="K406" s="1767">
        <f t="shared" si="29"/>
        <v>348000000</v>
      </c>
      <c r="L406" s="1768">
        <f t="shared" si="28"/>
        <v>58000</v>
      </c>
      <c r="N406" s="1742"/>
    </row>
    <row r="407" spans="1:14" s="1741" customFormat="1">
      <c r="A407" s="1775">
        <v>326</v>
      </c>
      <c r="B407" s="1770">
        <v>5</v>
      </c>
      <c r="C407" s="1776" t="s">
        <v>3494</v>
      </c>
      <c r="D407" s="1777" t="s">
        <v>3495</v>
      </c>
      <c r="E407" s="1772" t="s">
        <v>3488</v>
      </c>
      <c r="F407" s="1768"/>
      <c r="G407" s="1768"/>
      <c r="H407" s="1768"/>
      <c r="I407" s="1773">
        <v>16000</v>
      </c>
      <c r="J407" s="1774">
        <v>17325</v>
      </c>
      <c r="K407" s="1767">
        <f t="shared" si="29"/>
        <v>277200000</v>
      </c>
      <c r="L407" s="1768">
        <f t="shared" si="28"/>
        <v>17325</v>
      </c>
      <c r="N407" s="1742"/>
    </row>
    <row r="408" spans="1:14" s="1741" customFormat="1">
      <c r="A408" s="1775">
        <v>327</v>
      </c>
      <c r="B408" s="1770">
        <v>6</v>
      </c>
      <c r="C408" s="1771" t="s">
        <v>3496</v>
      </c>
      <c r="D408" s="1772" t="s">
        <v>3497</v>
      </c>
      <c r="E408" s="1772" t="s">
        <v>3498</v>
      </c>
      <c r="F408" s="1768"/>
      <c r="G408" s="1768"/>
      <c r="H408" s="1768"/>
      <c r="I408" s="1773">
        <v>80</v>
      </c>
      <c r="J408" s="1774">
        <v>1350000</v>
      </c>
      <c r="K408" s="1767">
        <f t="shared" si="29"/>
        <v>108000000</v>
      </c>
      <c r="L408" s="1768">
        <f t="shared" si="28"/>
        <v>1350000</v>
      </c>
      <c r="N408" s="1742"/>
    </row>
    <row r="409" spans="1:14" s="1741" customFormat="1">
      <c r="A409" s="1778">
        <v>328</v>
      </c>
      <c r="B409" s="1770">
        <v>7</v>
      </c>
      <c r="C409" s="1779" t="s">
        <v>3499</v>
      </c>
      <c r="D409" s="1772" t="s">
        <v>3500</v>
      </c>
      <c r="E409" s="1772" t="s">
        <v>2055</v>
      </c>
      <c r="F409" s="1768"/>
      <c r="G409" s="1768"/>
      <c r="H409" s="1768"/>
      <c r="I409" s="1773">
        <v>50</v>
      </c>
      <c r="J409" s="1774">
        <v>180000</v>
      </c>
      <c r="K409" s="1767">
        <f t="shared" si="29"/>
        <v>9000000</v>
      </c>
      <c r="L409" s="1768">
        <f t="shared" si="28"/>
        <v>180000</v>
      </c>
      <c r="N409" s="1742"/>
    </row>
    <row r="410" spans="1:14" s="1741" customFormat="1">
      <c r="A410" s="1775">
        <v>329</v>
      </c>
      <c r="B410" s="1770">
        <v>8</v>
      </c>
      <c r="C410" s="1780" t="s">
        <v>3501</v>
      </c>
      <c r="D410" s="1781" t="s">
        <v>3500</v>
      </c>
      <c r="E410" s="1781" t="s">
        <v>2055</v>
      </c>
      <c r="F410" s="1782"/>
      <c r="G410" s="1782"/>
      <c r="H410" s="1782"/>
      <c r="I410" s="1773">
        <v>50</v>
      </c>
      <c r="J410" s="1783">
        <v>201000</v>
      </c>
      <c r="K410" s="1767">
        <f t="shared" si="29"/>
        <v>10050000</v>
      </c>
      <c r="L410" s="1768">
        <f t="shared" si="28"/>
        <v>201000</v>
      </c>
      <c r="N410" s="1742"/>
    </row>
    <row r="411" spans="1:14" s="1741" customFormat="1">
      <c r="A411" s="1784"/>
      <c r="B411" s="1785"/>
      <c r="C411" s="1786" t="s">
        <v>958</v>
      </c>
      <c r="D411" s="1787"/>
      <c r="E411" s="1787"/>
      <c r="F411" s="1788"/>
      <c r="G411" s="1788"/>
      <c r="H411" s="1788"/>
      <c r="I411" s="1789"/>
      <c r="J411" s="1790"/>
      <c r="K411" s="1791">
        <f>SUM(K403:K410)</f>
        <v>1374250000</v>
      </c>
      <c r="L411" s="1792"/>
      <c r="N411" s="1742"/>
    </row>
    <row r="412" spans="1:14" s="1741" customFormat="1">
      <c r="A412" s="1743"/>
      <c r="B412" s="1744"/>
      <c r="C412" s="1793"/>
      <c r="D412" s="1746"/>
      <c r="E412" s="1746"/>
      <c r="F412" s="1747"/>
      <c r="G412" s="1747"/>
      <c r="H412" s="1747"/>
      <c r="I412" s="1748"/>
      <c r="J412" s="1794"/>
      <c r="K412" s="1794"/>
      <c r="L412" s="1794"/>
      <c r="N412" s="1742"/>
    </row>
    <row r="413" spans="1:14">
      <c r="C413" s="1465"/>
    </row>
    <row r="414" spans="1:14">
      <c r="C414" s="1465"/>
    </row>
    <row r="415" spans="1:14">
      <c r="A415" s="2196" t="s">
        <v>3502</v>
      </c>
      <c r="B415" s="2196"/>
      <c r="C415" s="2196"/>
      <c r="D415" s="2196"/>
      <c r="E415" s="2196"/>
      <c r="F415" s="2196"/>
      <c r="G415" s="2196"/>
      <c r="H415" s="2196"/>
      <c r="I415" s="2196"/>
      <c r="J415" s="2196"/>
      <c r="K415" s="2196"/>
      <c r="L415" s="1475"/>
    </row>
    <row r="416" spans="1:14">
      <c r="C416" s="1465"/>
    </row>
    <row r="417" spans="1:14" ht="27">
      <c r="A417" s="2197" t="s">
        <v>2901</v>
      </c>
      <c r="B417" s="2199" t="s">
        <v>2902</v>
      </c>
      <c r="C417" s="2201" t="s">
        <v>2607</v>
      </c>
      <c r="D417" s="2203" t="s">
        <v>2608</v>
      </c>
      <c r="E417" s="2199" t="s">
        <v>2609</v>
      </c>
      <c r="F417" s="2205" t="s">
        <v>2903</v>
      </c>
      <c r="G417" s="2206"/>
      <c r="H417" s="2207"/>
      <c r="I417" s="2205" t="s">
        <v>2904</v>
      </c>
      <c r="J417" s="2206"/>
      <c r="K417" s="2207"/>
      <c r="L417" s="1476" t="s">
        <v>2905</v>
      </c>
      <c r="M417" s="2197" t="s">
        <v>2906</v>
      </c>
      <c r="N417" s="2208" t="s">
        <v>2907</v>
      </c>
    </row>
    <row r="418" spans="1:14">
      <c r="A418" s="2198"/>
      <c r="B418" s="2200"/>
      <c r="C418" s="2210"/>
      <c r="D418" s="2211"/>
      <c r="E418" s="2200"/>
      <c r="F418" s="1477" t="s">
        <v>2908</v>
      </c>
      <c r="G418" s="1476" t="s">
        <v>2611</v>
      </c>
      <c r="H418" s="1476" t="s">
        <v>2612</v>
      </c>
      <c r="I418" s="1477" t="s">
        <v>2908</v>
      </c>
      <c r="J418" s="1476" t="s">
        <v>2611</v>
      </c>
      <c r="K418" s="1476" t="s">
        <v>2612</v>
      </c>
      <c r="L418" s="1476"/>
      <c r="M418" s="2198"/>
      <c r="N418" s="2209"/>
    </row>
    <row r="419" spans="1:14">
      <c r="A419" s="1480">
        <v>330</v>
      </c>
      <c r="B419" s="1554">
        <v>1</v>
      </c>
      <c r="C419" s="1482" t="s">
        <v>3503</v>
      </c>
      <c r="D419" s="1484" t="s">
        <v>3504</v>
      </c>
      <c r="E419" s="1484" t="s">
        <v>435</v>
      </c>
      <c r="F419" s="1652">
        <v>30</v>
      </c>
      <c r="G419" s="1652">
        <v>12490000</v>
      </c>
      <c r="H419" s="1652">
        <f t="shared" ref="H419:H465" si="30">F419*G419</f>
        <v>374700000</v>
      </c>
      <c r="I419" s="1652">
        <v>30</v>
      </c>
      <c r="J419" s="1652">
        <v>12500000</v>
      </c>
      <c r="K419" s="1652">
        <f>I419*J419</f>
        <v>375000000</v>
      </c>
      <c r="L419" s="1652">
        <f t="shared" ref="L419:L465" si="31">J419-G419</f>
        <v>10000</v>
      </c>
      <c r="M419" s="1652" t="s">
        <v>3505</v>
      </c>
      <c r="N419" s="1596" t="s">
        <v>3506</v>
      </c>
    </row>
    <row r="420" spans="1:14">
      <c r="A420" s="1488">
        <v>331</v>
      </c>
      <c r="B420" s="1563">
        <v>2</v>
      </c>
      <c r="C420" s="1490" t="s">
        <v>3507</v>
      </c>
      <c r="D420" s="1492" t="s">
        <v>3508</v>
      </c>
      <c r="E420" s="1492" t="s">
        <v>435</v>
      </c>
      <c r="F420" s="1560">
        <v>70</v>
      </c>
      <c r="G420" s="1560">
        <v>8790000</v>
      </c>
      <c r="H420" s="1560">
        <f t="shared" si="30"/>
        <v>615300000</v>
      </c>
      <c r="I420" s="1560">
        <v>70</v>
      </c>
      <c r="J420" s="1560">
        <v>8800000</v>
      </c>
      <c r="K420" s="1560">
        <f t="shared" ref="K420:K465" si="32">I420*J420</f>
        <v>616000000</v>
      </c>
      <c r="L420" s="1560">
        <f t="shared" si="31"/>
        <v>10000</v>
      </c>
      <c r="M420" s="1560" t="s">
        <v>3505</v>
      </c>
      <c r="N420" s="1562" t="s">
        <v>3506</v>
      </c>
    </row>
    <row r="421" spans="1:14">
      <c r="A421" s="1488">
        <v>332</v>
      </c>
      <c r="B421" s="1563">
        <v>3</v>
      </c>
      <c r="C421" s="1490" t="s">
        <v>3509</v>
      </c>
      <c r="D421" s="1492" t="s">
        <v>3510</v>
      </c>
      <c r="E421" s="1492" t="s">
        <v>435</v>
      </c>
      <c r="F421" s="1560">
        <v>120</v>
      </c>
      <c r="G421" s="1560">
        <v>5545000</v>
      </c>
      <c r="H421" s="1560">
        <f t="shared" si="30"/>
        <v>665400000</v>
      </c>
      <c r="I421" s="1560">
        <v>120</v>
      </c>
      <c r="J421" s="1560">
        <v>5550000</v>
      </c>
      <c r="K421" s="1560">
        <f t="shared" si="32"/>
        <v>666000000</v>
      </c>
      <c r="L421" s="1560">
        <f t="shared" si="31"/>
        <v>5000</v>
      </c>
      <c r="M421" s="1560" t="s">
        <v>3505</v>
      </c>
      <c r="N421" s="1562" t="s">
        <v>3506</v>
      </c>
    </row>
    <row r="422" spans="1:14" s="1741" customFormat="1">
      <c r="A422" s="1775">
        <v>333</v>
      </c>
      <c r="B422" s="1795">
        <v>4</v>
      </c>
      <c r="C422" s="1796" t="s">
        <v>3511</v>
      </c>
      <c r="D422" s="1797" t="s">
        <v>3512</v>
      </c>
      <c r="E422" s="1797" t="s">
        <v>435</v>
      </c>
      <c r="F422" s="1767">
        <v>100</v>
      </c>
      <c r="G422" s="1767">
        <v>17800000</v>
      </c>
      <c r="H422" s="1767">
        <f t="shared" si="30"/>
        <v>1780000000</v>
      </c>
      <c r="I422" s="1767">
        <v>100</v>
      </c>
      <c r="J422" s="1767">
        <v>17800000</v>
      </c>
      <c r="K422" s="1767">
        <f t="shared" si="32"/>
        <v>1780000000</v>
      </c>
      <c r="L422" s="1767">
        <f t="shared" si="31"/>
        <v>0</v>
      </c>
      <c r="M422" s="1767" t="s">
        <v>3505</v>
      </c>
      <c r="N422" s="1798" t="s">
        <v>3506</v>
      </c>
    </row>
    <row r="423" spans="1:14">
      <c r="A423" s="1488">
        <v>334</v>
      </c>
      <c r="B423" s="1563">
        <v>5</v>
      </c>
      <c r="C423" s="1490" t="s">
        <v>3513</v>
      </c>
      <c r="D423" s="1492" t="s">
        <v>3514</v>
      </c>
      <c r="E423" s="1492" t="s">
        <v>435</v>
      </c>
      <c r="F423" s="1560">
        <v>20</v>
      </c>
      <c r="G423" s="1560">
        <v>2490000</v>
      </c>
      <c r="H423" s="1560">
        <f t="shared" si="30"/>
        <v>49800000</v>
      </c>
      <c r="I423" s="1560">
        <v>20</v>
      </c>
      <c r="J423" s="1560">
        <v>2500000</v>
      </c>
      <c r="K423" s="1560">
        <f t="shared" si="32"/>
        <v>50000000</v>
      </c>
      <c r="L423" s="1560">
        <f t="shared" si="31"/>
        <v>10000</v>
      </c>
      <c r="M423" s="1560" t="s">
        <v>3505</v>
      </c>
      <c r="N423" s="1562" t="s">
        <v>3506</v>
      </c>
    </row>
    <row r="424" spans="1:14">
      <c r="A424" s="1488">
        <v>335</v>
      </c>
      <c r="B424" s="1563">
        <v>6</v>
      </c>
      <c r="C424" s="1490" t="s">
        <v>3515</v>
      </c>
      <c r="D424" s="1492" t="s">
        <v>3516</v>
      </c>
      <c r="E424" s="1492" t="s">
        <v>435</v>
      </c>
      <c r="F424" s="1560">
        <v>5</v>
      </c>
      <c r="G424" s="1560">
        <v>11450000</v>
      </c>
      <c r="H424" s="1560">
        <f t="shared" si="30"/>
        <v>57250000</v>
      </c>
      <c r="I424" s="1560">
        <v>5</v>
      </c>
      <c r="J424" s="1560">
        <v>11500000</v>
      </c>
      <c r="K424" s="1560">
        <f t="shared" si="32"/>
        <v>57500000</v>
      </c>
      <c r="L424" s="1560">
        <f t="shared" si="31"/>
        <v>50000</v>
      </c>
      <c r="M424" s="1560" t="s">
        <v>3505</v>
      </c>
      <c r="N424" s="1562" t="s">
        <v>3506</v>
      </c>
    </row>
    <row r="425" spans="1:14">
      <c r="A425" s="1488">
        <v>336</v>
      </c>
      <c r="B425" s="1563">
        <v>7</v>
      </c>
      <c r="C425" s="1490" t="s">
        <v>3517</v>
      </c>
      <c r="D425" s="1492" t="s">
        <v>3518</v>
      </c>
      <c r="E425" s="1492" t="s">
        <v>435</v>
      </c>
      <c r="F425" s="1560">
        <v>20</v>
      </c>
      <c r="G425" s="1560">
        <v>2745000</v>
      </c>
      <c r="H425" s="1560">
        <f t="shared" si="30"/>
        <v>54900000</v>
      </c>
      <c r="I425" s="1560">
        <v>20</v>
      </c>
      <c r="J425" s="1560">
        <v>2750000</v>
      </c>
      <c r="K425" s="1560">
        <f t="shared" si="32"/>
        <v>55000000</v>
      </c>
      <c r="L425" s="1560">
        <f t="shared" si="31"/>
        <v>5000</v>
      </c>
      <c r="M425" s="1560" t="s">
        <v>3505</v>
      </c>
      <c r="N425" s="1562" t="s">
        <v>3506</v>
      </c>
    </row>
    <row r="426" spans="1:14">
      <c r="A426" s="1488">
        <v>337</v>
      </c>
      <c r="B426" s="1563">
        <v>8</v>
      </c>
      <c r="C426" s="1490" t="s">
        <v>3519</v>
      </c>
      <c r="D426" s="1492" t="s">
        <v>3518</v>
      </c>
      <c r="E426" s="1492" t="s">
        <v>435</v>
      </c>
      <c r="F426" s="1560">
        <v>20</v>
      </c>
      <c r="G426" s="1560">
        <v>4880000</v>
      </c>
      <c r="H426" s="1560">
        <f t="shared" si="30"/>
        <v>97600000</v>
      </c>
      <c r="I426" s="1560">
        <v>20</v>
      </c>
      <c r="J426" s="1560">
        <v>4890000</v>
      </c>
      <c r="K426" s="1560">
        <f t="shared" si="32"/>
        <v>97800000</v>
      </c>
      <c r="L426" s="1560">
        <f t="shared" si="31"/>
        <v>10000</v>
      </c>
      <c r="M426" s="1560" t="s">
        <v>3505</v>
      </c>
      <c r="N426" s="1562" t="s">
        <v>3506</v>
      </c>
    </row>
    <row r="427" spans="1:14">
      <c r="A427" s="1488">
        <v>338</v>
      </c>
      <c r="B427" s="1563">
        <v>9</v>
      </c>
      <c r="C427" s="1490" t="s">
        <v>3520</v>
      </c>
      <c r="D427" s="1492" t="s">
        <v>3518</v>
      </c>
      <c r="E427" s="1492" t="s">
        <v>435</v>
      </c>
      <c r="F427" s="1560">
        <v>50</v>
      </c>
      <c r="G427" s="1560">
        <v>5245000</v>
      </c>
      <c r="H427" s="1560">
        <f t="shared" si="30"/>
        <v>262250000</v>
      </c>
      <c r="I427" s="1560">
        <v>50</v>
      </c>
      <c r="J427" s="1560">
        <v>5250000</v>
      </c>
      <c r="K427" s="1560">
        <f t="shared" si="32"/>
        <v>262500000</v>
      </c>
      <c r="L427" s="1560">
        <f t="shared" si="31"/>
        <v>5000</v>
      </c>
      <c r="M427" s="1560" t="s">
        <v>3505</v>
      </c>
      <c r="N427" s="1562" t="s">
        <v>3506</v>
      </c>
    </row>
    <row r="428" spans="1:14">
      <c r="A428" s="1488">
        <v>339</v>
      </c>
      <c r="B428" s="1563">
        <v>10</v>
      </c>
      <c r="C428" s="1490" t="s">
        <v>3521</v>
      </c>
      <c r="D428" s="1492" t="s">
        <v>3522</v>
      </c>
      <c r="E428" s="1492" t="s">
        <v>3427</v>
      </c>
      <c r="F428" s="1560">
        <v>120</v>
      </c>
      <c r="G428" s="1560">
        <v>4270000</v>
      </c>
      <c r="H428" s="1560">
        <f t="shared" si="30"/>
        <v>512400000</v>
      </c>
      <c r="I428" s="1560">
        <v>120</v>
      </c>
      <c r="J428" s="1560">
        <v>4280000</v>
      </c>
      <c r="K428" s="1560">
        <f t="shared" si="32"/>
        <v>513600000</v>
      </c>
      <c r="L428" s="1560">
        <f t="shared" si="31"/>
        <v>10000</v>
      </c>
      <c r="M428" s="1560" t="s">
        <v>3505</v>
      </c>
      <c r="N428" s="1562" t="s">
        <v>3506</v>
      </c>
    </row>
    <row r="429" spans="1:14">
      <c r="A429" s="1488">
        <v>340</v>
      </c>
      <c r="B429" s="1563">
        <v>11</v>
      </c>
      <c r="C429" s="1490" t="s">
        <v>3523</v>
      </c>
      <c r="D429" s="1492" t="s">
        <v>3524</v>
      </c>
      <c r="E429" s="1492" t="s">
        <v>435</v>
      </c>
      <c r="F429" s="1560">
        <v>2</v>
      </c>
      <c r="G429" s="1560">
        <v>8150000</v>
      </c>
      <c r="H429" s="1560">
        <f t="shared" si="30"/>
        <v>16300000</v>
      </c>
      <c r="I429" s="1560">
        <v>2</v>
      </c>
      <c r="J429" s="1560">
        <v>8200000</v>
      </c>
      <c r="K429" s="1560">
        <f t="shared" si="32"/>
        <v>16400000</v>
      </c>
      <c r="L429" s="1560">
        <f t="shared" si="31"/>
        <v>50000</v>
      </c>
      <c r="M429" s="1560" t="s">
        <v>3505</v>
      </c>
      <c r="N429" s="1562" t="s">
        <v>3506</v>
      </c>
    </row>
    <row r="430" spans="1:14">
      <c r="A430" s="1488">
        <v>341</v>
      </c>
      <c r="B430" s="1563">
        <v>12</v>
      </c>
      <c r="C430" s="1490" t="s">
        <v>3525</v>
      </c>
      <c r="D430" s="1492" t="s">
        <v>3526</v>
      </c>
      <c r="E430" s="1492" t="s">
        <v>435</v>
      </c>
      <c r="F430" s="1560">
        <v>3</v>
      </c>
      <c r="G430" s="1560">
        <v>40800000</v>
      </c>
      <c r="H430" s="1560">
        <f t="shared" si="30"/>
        <v>122400000</v>
      </c>
      <c r="I430" s="1560">
        <v>3</v>
      </c>
      <c r="J430" s="1560">
        <v>41000000</v>
      </c>
      <c r="K430" s="1560">
        <f t="shared" si="32"/>
        <v>123000000</v>
      </c>
      <c r="L430" s="1560">
        <f t="shared" si="31"/>
        <v>200000</v>
      </c>
      <c r="M430" s="1560" t="s">
        <v>3505</v>
      </c>
      <c r="N430" s="1562" t="s">
        <v>3506</v>
      </c>
    </row>
    <row r="431" spans="1:14">
      <c r="A431" s="1488">
        <v>342</v>
      </c>
      <c r="B431" s="1563">
        <v>13</v>
      </c>
      <c r="C431" s="1490" t="s">
        <v>3527</v>
      </c>
      <c r="D431" s="1492" t="s">
        <v>3528</v>
      </c>
      <c r="E431" s="1492" t="s">
        <v>260</v>
      </c>
      <c r="F431" s="1560">
        <v>120</v>
      </c>
      <c r="G431" s="1560">
        <v>10150000</v>
      </c>
      <c r="H431" s="1560">
        <f t="shared" si="30"/>
        <v>1218000000</v>
      </c>
      <c r="I431" s="1560">
        <v>120</v>
      </c>
      <c r="J431" s="1560">
        <v>10164000</v>
      </c>
      <c r="K431" s="1560">
        <f t="shared" si="32"/>
        <v>1219680000</v>
      </c>
      <c r="L431" s="1560">
        <f t="shared" si="31"/>
        <v>14000</v>
      </c>
      <c r="M431" s="1560" t="s">
        <v>3505</v>
      </c>
      <c r="N431" s="1562" t="s">
        <v>3506</v>
      </c>
    </row>
    <row r="432" spans="1:14">
      <c r="A432" s="1488">
        <v>343</v>
      </c>
      <c r="B432" s="1563">
        <v>14</v>
      </c>
      <c r="C432" s="1490" t="s">
        <v>3529</v>
      </c>
      <c r="D432" s="1492" t="s">
        <v>3524</v>
      </c>
      <c r="E432" s="1492" t="s">
        <v>435</v>
      </c>
      <c r="F432" s="1560">
        <v>2</v>
      </c>
      <c r="G432" s="1560">
        <v>11200000</v>
      </c>
      <c r="H432" s="1560">
        <f t="shared" si="30"/>
        <v>22400000</v>
      </c>
      <c r="I432" s="1560">
        <v>2</v>
      </c>
      <c r="J432" s="1560">
        <v>11300000</v>
      </c>
      <c r="K432" s="1560">
        <f t="shared" si="32"/>
        <v>22600000</v>
      </c>
      <c r="L432" s="1560">
        <f t="shared" si="31"/>
        <v>100000</v>
      </c>
      <c r="M432" s="1560" t="s">
        <v>3505</v>
      </c>
      <c r="N432" s="1562" t="s">
        <v>3506</v>
      </c>
    </row>
    <row r="433" spans="1:14" ht="18.75">
      <c r="A433" s="1488">
        <v>344</v>
      </c>
      <c r="B433" s="1563">
        <v>15</v>
      </c>
      <c r="C433" s="1490" t="s">
        <v>3530</v>
      </c>
      <c r="D433" s="1492" t="s">
        <v>3531</v>
      </c>
      <c r="E433" s="1492" t="s">
        <v>3532</v>
      </c>
      <c r="F433" s="1560">
        <v>150000</v>
      </c>
      <c r="G433" s="1560">
        <v>2500</v>
      </c>
      <c r="H433" s="1560">
        <f t="shared" si="30"/>
        <v>375000000</v>
      </c>
      <c r="I433" s="1560">
        <v>150000</v>
      </c>
      <c r="J433" s="1560">
        <v>2850</v>
      </c>
      <c r="K433" s="1560">
        <f t="shared" si="32"/>
        <v>427500000</v>
      </c>
      <c r="L433" s="1560">
        <f t="shared" si="31"/>
        <v>350</v>
      </c>
      <c r="M433" s="1560" t="s">
        <v>3533</v>
      </c>
      <c r="N433" s="1562" t="s">
        <v>3506</v>
      </c>
    </row>
    <row r="434" spans="1:14">
      <c r="A434" s="1488">
        <v>345</v>
      </c>
      <c r="B434" s="1563">
        <v>16</v>
      </c>
      <c r="C434" s="1490" t="s">
        <v>3534</v>
      </c>
      <c r="D434" s="1492" t="s">
        <v>3531</v>
      </c>
      <c r="E434" s="1492" t="s">
        <v>3532</v>
      </c>
      <c r="F434" s="1560">
        <v>100000</v>
      </c>
      <c r="G434" s="1560">
        <v>1250</v>
      </c>
      <c r="H434" s="1560">
        <f t="shared" si="30"/>
        <v>125000000</v>
      </c>
      <c r="I434" s="1560">
        <v>100000</v>
      </c>
      <c r="J434" s="1560">
        <v>2000</v>
      </c>
      <c r="K434" s="1560">
        <f t="shared" si="32"/>
        <v>200000000</v>
      </c>
      <c r="L434" s="1560">
        <f t="shared" si="31"/>
        <v>750</v>
      </c>
      <c r="M434" s="1560" t="s">
        <v>3535</v>
      </c>
      <c r="N434" s="1562" t="s">
        <v>3506</v>
      </c>
    </row>
    <row r="435" spans="1:14">
      <c r="A435" s="1488">
        <v>346</v>
      </c>
      <c r="B435" s="1563">
        <v>17</v>
      </c>
      <c r="C435" s="1490" t="s">
        <v>3536</v>
      </c>
      <c r="D435" s="1492" t="s">
        <v>3531</v>
      </c>
      <c r="E435" s="1492" t="s">
        <v>3532</v>
      </c>
      <c r="F435" s="1560">
        <v>60000</v>
      </c>
      <c r="G435" s="1560">
        <v>1250</v>
      </c>
      <c r="H435" s="1560">
        <f t="shared" si="30"/>
        <v>75000000</v>
      </c>
      <c r="I435" s="1560">
        <v>60000</v>
      </c>
      <c r="J435" s="1560">
        <v>2000</v>
      </c>
      <c r="K435" s="1560">
        <f t="shared" si="32"/>
        <v>120000000</v>
      </c>
      <c r="L435" s="1560">
        <f t="shared" si="31"/>
        <v>750</v>
      </c>
      <c r="M435" s="1560" t="s">
        <v>3535</v>
      </c>
      <c r="N435" s="1562" t="s">
        <v>3506</v>
      </c>
    </row>
    <row r="436" spans="1:14" s="1805" customFormat="1">
      <c r="A436" s="1799">
        <v>347</v>
      </c>
      <c r="B436" s="1800">
        <v>18</v>
      </c>
      <c r="C436" s="1801" t="s">
        <v>3537</v>
      </c>
      <c r="D436" s="1802" t="s">
        <v>3538</v>
      </c>
      <c r="E436" s="1802" t="s">
        <v>3532</v>
      </c>
      <c r="F436" s="1803">
        <v>120000</v>
      </c>
      <c r="G436" s="1803">
        <v>1350</v>
      </c>
      <c r="H436" s="1803">
        <f t="shared" si="30"/>
        <v>162000000</v>
      </c>
      <c r="I436" s="1803">
        <v>120000</v>
      </c>
      <c r="J436" s="1803">
        <v>2000</v>
      </c>
      <c r="K436" s="1803">
        <f t="shared" si="32"/>
        <v>240000000</v>
      </c>
      <c r="L436" s="1803">
        <f t="shared" si="31"/>
        <v>650</v>
      </c>
      <c r="M436" s="1803" t="s">
        <v>3535</v>
      </c>
      <c r="N436" s="1804" t="s">
        <v>3506</v>
      </c>
    </row>
    <row r="437" spans="1:14">
      <c r="A437" s="1488">
        <v>348</v>
      </c>
      <c r="B437" s="1563">
        <v>19</v>
      </c>
      <c r="C437" s="1487" t="s">
        <v>3539</v>
      </c>
      <c r="D437" s="1491" t="s">
        <v>3540</v>
      </c>
      <c r="E437" s="1491" t="s">
        <v>435</v>
      </c>
      <c r="F437" s="1560">
        <v>1</v>
      </c>
      <c r="G437" s="1560">
        <v>19500000</v>
      </c>
      <c r="H437" s="1560">
        <f t="shared" si="30"/>
        <v>19500000</v>
      </c>
      <c r="I437" s="1560">
        <v>1</v>
      </c>
      <c r="J437" s="1560">
        <v>19595520</v>
      </c>
      <c r="K437" s="1560">
        <f t="shared" si="32"/>
        <v>19595520</v>
      </c>
      <c r="L437" s="1560">
        <f t="shared" si="31"/>
        <v>95520</v>
      </c>
      <c r="M437" s="1560" t="s">
        <v>3505</v>
      </c>
      <c r="N437" s="1562" t="s">
        <v>3506</v>
      </c>
    </row>
    <row r="438" spans="1:14">
      <c r="A438" s="1488">
        <v>349</v>
      </c>
      <c r="B438" s="1563">
        <v>20</v>
      </c>
      <c r="C438" s="1487" t="s">
        <v>3541</v>
      </c>
      <c r="D438" s="1491" t="s">
        <v>3542</v>
      </c>
      <c r="E438" s="1491" t="s">
        <v>435</v>
      </c>
      <c r="F438" s="1560">
        <v>1</v>
      </c>
      <c r="G438" s="1560">
        <v>15500000</v>
      </c>
      <c r="H438" s="1560">
        <f t="shared" si="30"/>
        <v>15500000</v>
      </c>
      <c r="I438" s="1560">
        <v>1</v>
      </c>
      <c r="J438" s="1560">
        <v>15567552</v>
      </c>
      <c r="K438" s="1560">
        <f t="shared" si="32"/>
        <v>15567552</v>
      </c>
      <c r="L438" s="1560">
        <f t="shared" si="31"/>
        <v>67552</v>
      </c>
      <c r="M438" s="1560" t="s">
        <v>3505</v>
      </c>
      <c r="N438" s="1562" t="s">
        <v>3506</v>
      </c>
    </row>
    <row r="439" spans="1:14">
      <c r="A439" s="1488">
        <v>350</v>
      </c>
      <c r="B439" s="1563">
        <v>21</v>
      </c>
      <c r="C439" s="1487" t="s">
        <v>3543</v>
      </c>
      <c r="D439" s="1491" t="s">
        <v>3544</v>
      </c>
      <c r="E439" s="1491" t="s">
        <v>435</v>
      </c>
      <c r="F439" s="1560">
        <v>1</v>
      </c>
      <c r="G439" s="1560">
        <v>11000000</v>
      </c>
      <c r="H439" s="1560">
        <f t="shared" si="30"/>
        <v>11000000</v>
      </c>
      <c r="I439" s="1560">
        <v>1</v>
      </c>
      <c r="J439" s="1560">
        <v>11104128</v>
      </c>
      <c r="K439" s="1560">
        <f t="shared" si="32"/>
        <v>11104128</v>
      </c>
      <c r="L439" s="1560">
        <f t="shared" si="31"/>
        <v>104128</v>
      </c>
      <c r="M439" s="1560" t="s">
        <v>3505</v>
      </c>
      <c r="N439" s="1562" t="s">
        <v>3506</v>
      </c>
    </row>
    <row r="440" spans="1:14">
      <c r="A440" s="1488">
        <v>351</v>
      </c>
      <c r="B440" s="1563">
        <v>22</v>
      </c>
      <c r="C440" s="1487" t="s">
        <v>3545</v>
      </c>
      <c r="D440" s="1491" t="s">
        <v>3540</v>
      </c>
      <c r="E440" s="1491" t="s">
        <v>435</v>
      </c>
      <c r="F440" s="1560">
        <v>1</v>
      </c>
      <c r="G440" s="1560">
        <v>28000000</v>
      </c>
      <c r="H440" s="1560">
        <f t="shared" si="30"/>
        <v>28000000</v>
      </c>
      <c r="I440" s="1560">
        <v>1</v>
      </c>
      <c r="J440" s="1560">
        <v>28304640</v>
      </c>
      <c r="K440" s="1560">
        <f t="shared" si="32"/>
        <v>28304640</v>
      </c>
      <c r="L440" s="1560">
        <f t="shared" si="31"/>
        <v>304640</v>
      </c>
      <c r="M440" s="1560" t="s">
        <v>3505</v>
      </c>
      <c r="N440" s="1562" t="s">
        <v>3506</v>
      </c>
    </row>
    <row r="441" spans="1:14">
      <c r="A441" s="1488">
        <v>352</v>
      </c>
      <c r="B441" s="1563">
        <v>23</v>
      </c>
      <c r="C441" s="1487" t="s">
        <v>3546</v>
      </c>
      <c r="D441" s="1491" t="s">
        <v>3547</v>
      </c>
      <c r="E441" s="1491" t="s">
        <v>435</v>
      </c>
      <c r="F441" s="1560">
        <v>1</v>
      </c>
      <c r="G441" s="1560">
        <v>38600000</v>
      </c>
      <c r="H441" s="1560">
        <f t="shared" si="30"/>
        <v>38600000</v>
      </c>
      <c r="I441" s="1560">
        <v>1</v>
      </c>
      <c r="J441" s="1560">
        <v>38646720</v>
      </c>
      <c r="K441" s="1560">
        <f t="shared" si="32"/>
        <v>38646720</v>
      </c>
      <c r="L441" s="1560">
        <f t="shared" si="31"/>
        <v>46720</v>
      </c>
      <c r="M441" s="1560" t="s">
        <v>3505</v>
      </c>
      <c r="N441" s="1562" t="s">
        <v>3506</v>
      </c>
    </row>
    <row r="442" spans="1:14">
      <c r="A442" s="1488">
        <v>353</v>
      </c>
      <c r="B442" s="1563">
        <v>24</v>
      </c>
      <c r="C442" s="1487" t="s">
        <v>3548</v>
      </c>
      <c r="D442" s="1491" t="s">
        <v>3549</v>
      </c>
      <c r="E442" s="1491" t="s">
        <v>435</v>
      </c>
      <c r="F442" s="1560">
        <v>1</v>
      </c>
      <c r="G442" s="1560">
        <v>19450000</v>
      </c>
      <c r="H442" s="1560">
        <f t="shared" si="30"/>
        <v>19450000</v>
      </c>
      <c r="I442" s="1560">
        <v>1</v>
      </c>
      <c r="J442" s="1560">
        <v>19491840</v>
      </c>
      <c r="K442" s="1560">
        <f t="shared" si="32"/>
        <v>19491840</v>
      </c>
      <c r="L442" s="1560">
        <f t="shared" si="31"/>
        <v>41840</v>
      </c>
      <c r="M442" s="1560" t="s">
        <v>3505</v>
      </c>
      <c r="N442" s="1562" t="s">
        <v>3506</v>
      </c>
    </row>
    <row r="443" spans="1:14">
      <c r="A443" s="1488">
        <v>354</v>
      </c>
      <c r="B443" s="1563">
        <v>25</v>
      </c>
      <c r="C443" s="1487" t="s">
        <v>3550</v>
      </c>
      <c r="D443" s="1491" t="s">
        <v>3551</v>
      </c>
      <c r="E443" s="1491" t="s">
        <v>435</v>
      </c>
      <c r="F443" s="1560">
        <v>1</v>
      </c>
      <c r="G443" s="1560">
        <v>58700000</v>
      </c>
      <c r="H443" s="1560">
        <f t="shared" si="30"/>
        <v>58700000</v>
      </c>
      <c r="I443" s="1560">
        <v>1</v>
      </c>
      <c r="J443" s="1560">
        <v>58734720</v>
      </c>
      <c r="K443" s="1560">
        <f t="shared" si="32"/>
        <v>58734720</v>
      </c>
      <c r="L443" s="1560">
        <f t="shared" si="31"/>
        <v>34720</v>
      </c>
      <c r="M443" s="1560" t="s">
        <v>3505</v>
      </c>
      <c r="N443" s="1562" t="s">
        <v>3506</v>
      </c>
    </row>
    <row r="444" spans="1:14">
      <c r="A444" s="1488">
        <v>355</v>
      </c>
      <c r="B444" s="1563">
        <v>26</v>
      </c>
      <c r="C444" s="1487" t="s">
        <v>3552</v>
      </c>
      <c r="D444" s="1491" t="s">
        <v>3553</v>
      </c>
      <c r="E444" s="1491" t="s">
        <v>435</v>
      </c>
      <c r="F444" s="1560">
        <v>1</v>
      </c>
      <c r="G444" s="1560">
        <v>23500000</v>
      </c>
      <c r="H444" s="1560">
        <f t="shared" si="30"/>
        <v>23500000</v>
      </c>
      <c r="I444" s="1560">
        <v>1</v>
      </c>
      <c r="J444" s="1560">
        <v>24004512</v>
      </c>
      <c r="K444" s="1560">
        <f t="shared" si="32"/>
        <v>24004512</v>
      </c>
      <c r="L444" s="1560">
        <f t="shared" si="31"/>
        <v>504512</v>
      </c>
      <c r="M444" s="1560" t="s">
        <v>3505</v>
      </c>
      <c r="N444" s="1562" t="s">
        <v>3506</v>
      </c>
    </row>
    <row r="445" spans="1:14">
      <c r="A445" s="1488">
        <v>356</v>
      </c>
      <c r="B445" s="1563">
        <v>27</v>
      </c>
      <c r="C445" s="1487" t="s">
        <v>3554</v>
      </c>
      <c r="D445" s="1491" t="s">
        <v>3514</v>
      </c>
      <c r="E445" s="1491" t="s">
        <v>435</v>
      </c>
      <c r="F445" s="1560">
        <v>1</v>
      </c>
      <c r="G445" s="1560">
        <v>33000000</v>
      </c>
      <c r="H445" s="1560">
        <f t="shared" si="30"/>
        <v>33000000</v>
      </c>
      <c r="I445" s="1560">
        <v>1</v>
      </c>
      <c r="J445" s="1560">
        <v>33312384</v>
      </c>
      <c r="K445" s="1560">
        <f t="shared" si="32"/>
        <v>33312384</v>
      </c>
      <c r="L445" s="1560">
        <f t="shared" si="31"/>
        <v>312384</v>
      </c>
      <c r="M445" s="1560" t="s">
        <v>3505</v>
      </c>
      <c r="N445" s="1562" t="s">
        <v>3506</v>
      </c>
    </row>
    <row r="446" spans="1:14">
      <c r="A446" s="1488">
        <v>357</v>
      </c>
      <c r="B446" s="1563">
        <v>28</v>
      </c>
      <c r="C446" s="1487" t="s">
        <v>3555</v>
      </c>
      <c r="D446" s="1491" t="s">
        <v>3514</v>
      </c>
      <c r="E446" s="1491" t="s">
        <v>435</v>
      </c>
      <c r="F446" s="1560">
        <v>1</v>
      </c>
      <c r="G446" s="1560">
        <v>26800000</v>
      </c>
      <c r="H446" s="1560">
        <f t="shared" si="30"/>
        <v>26800000</v>
      </c>
      <c r="I446" s="1560">
        <v>1</v>
      </c>
      <c r="J446" s="1560">
        <v>26889408</v>
      </c>
      <c r="K446" s="1560">
        <f t="shared" si="32"/>
        <v>26889408</v>
      </c>
      <c r="L446" s="1560">
        <f t="shared" si="31"/>
        <v>89408</v>
      </c>
      <c r="M446" s="1560" t="s">
        <v>3505</v>
      </c>
      <c r="N446" s="1562" t="s">
        <v>3506</v>
      </c>
    </row>
    <row r="447" spans="1:14">
      <c r="A447" s="1488">
        <v>358</v>
      </c>
      <c r="B447" s="1563">
        <v>29</v>
      </c>
      <c r="C447" s="1487" t="s">
        <v>3556</v>
      </c>
      <c r="D447" s="1491" t="s">
        <v>3557</v>
      </c>
      <c r="E447" s="1491" t="s">
        <v>435</v>
      </c>
      <c r="F447" s="1560">
        <v>1</v>
      </c>
      <c r="G447" s="1560">
        <v>1250000</v>
      </c>
      <c r="H447" s="1560">
        <f t="shared" si="30"/>
        <v>1250000</v>
      </c>
      <c r="I447" s="1560">
        <v>1</v>
      </c>
      <c r="J447" s="1560">
        <v>1258900.1856</v>
      </c>
      <c r="K447" s="1560">
        <f t="shared" si="32"/>
        <v>1258900.1856</v>
      </c>
      <c r="L447" s="1560">
        <f t="shared" si="31"/>
        <v>8900.185599999968</v>
      </c>
      <c r="M447" s="1560" t="s">
        <v>3505</v>
      </c>
      <c r="N447" s="1562" t="s">
        <v>3506</v>
      </c>
    </row>
    <row r="448" spans="1:14">
      <c r="A448" s="1488">
        <v>359</v>
      </c>
      <c r="B448" s="1563">
        <v>30</v>
      </c>
      <c r="C448" s="1487" t="s">
        <v>3558</v>
      </c>
      <c r="D448" s="1491" t="s">
        <v>3557</v>
      </c>
      <c r="E448" s="1491" t="s">
        <v>435</v>
      </c>
      <c r="F448" s="1560">
        <v>1</v>
      </c>
      <c r="G448" s="1560">
        <v>1250000</v>
      </c>
      <c r="H448" s="1560">
        <f t="shared" si="30"/>
        <v>1250000</v>
      </c>
      <c r="I448" s="1560">
        <v>1</v>
      </c>
      <c r="J448" s="1560">
        <v>1258900.1856</v>
      </c>
      <c r="K448" s="1560">
        <f t="shared" si="32"/>
        <v>1258900.1856</v>
      </c>
      <c r="L448" s="1560">
        <f t="shared" si="31"/>
        <v>8900.185599999968</v>
      </c>
      <c r="M448" s="1560" t="s">
        <v>3505</v>
      </c>
      <c r="N448" s="1562" t="s">
        <v>3506</v>
      </c>
    </row>
    <row r="449" spans="1:14">
      <c r="A449" s="1488">
        <v>360</v>
      </c>
      <c r="B449" s="1563">
        <v>31</v>
      </c>
      <c r="C449" s="1487" t="s">
        <v>3559</v>
      </c>
      <c r="D449" s="1491" t="s">
        <v>3557</v>
      </c>
      <c r="E449" s="1491" t="s">
        <v>435</v>
      </c>
      <c r="F449" s="1560">
        <v>2</v>
      </c>
      <c r="G449" s="1560">
        <v>11100000</v>
      </c>
      <c r="H449" s="1560">
        <f t="shared" si="30"/>
        <v>22200000</v>
      </c>
      <c r="I449" s="1560">
        <v>2</v>
      </c>
      <c r="J449" s="1560">
        <v>11148762.24</v>
      </c>
      <c r="K449" s="1560">
        <f t="shared" si="32"/>
        <v>22297524.48</v>
      </c>
      <c r="L449" s="1560">
        <f t="shared" si="31"/>
        <v>48762.240000000224</v>
      </c>
      <c r="M449" s="1560" t="s">
        <v>3505</v>
      </c>
      <c r="N449" s="1562" t="s">
        <v>3506</v>
      </c>
    </row>
    <row r="450" spans="1:14">
      <c r="A450" s="1488">
        <v>361</v>
      </c>
      <c r="B450" s="1563">
        <v>32</v>
      </c>
      <c r="C450" s="1490" t="s">
        <v>3560</v>
      </c>
      <c r="D450" s="1491" t="s">
        <v>3557</v>
      </c>
      <c r="E450" s="1492" t="s">
        <v>435</v>
      </c>
      <c r="F450" s="1560">
        <v>2</v>
      </c>
      <c r="G450" s="1560">
        <v>7400000</v>
      </c>
      <c r="H450" s="1560">
        <f t="shared" si="30"/>
        <v>14800000</v>
      </c>
      <c r="I450" s="1560">
        <v>2</v>
      </c>
      <c r="J450" s="1560">
        <v>7402752</v>
      </c>
      <c r="K450" s="1560">
        <f t="shared" si="32"/>
        <v>14805504</v>
      </c>
      <c r="L450" s="1560">
        <f t="shared" si="31"/>
        <v>2752</v>
      </c>
      <c r="M450" s="1560" t="s">
        <v>3505</v>
      </c>
      <c r="N450" s="1562" t="s">
        <v>3506</v>
      </c>
    </row>
    <row r="451" spans="1:14">
      <c r="A451" s="1488">
        <v>362</v>
      </c>
      <c r="B451" s="1563">
        <v>33</v>
      </c>
      <c r="C451" s="1487" t="s">
        <v>3561</v>
      </c>
      <c r="D451" s="1491" t="s">
        <v>3557</v>
      </c>
      <c r="E451" s="1491" t="s">
        <v>435</v>
      </c>
      <c r="F451" s="1560">
        <v>1</v>
      </c>
      <c r="G451" s="1560">
        <v>7400000</v>
      </c>
      <c r="H451" s="1560">
        <f t="shared" si="30"/>
        <v>7400000</v>
      </c>
      <c r="I451" s="1560">
        <v>1</v>
      </c>
      <c r="J451" s="1560">
        <v>7402752</v>
      </c>
      <c r="K451" s="1560">
        <f t="shared" si="32"/>
        <v>7402752</v>
      </c>
      <c r="L451" s="1560">
        <f t="shared" si="31"/>
        <v>2752</v>
      </c>
      <c r="M451" s="1560" t="s">
        <v>3505</v>
      </c>
      <c r="N451" s="1562" t="s">
        <v>3506</v>
      </c>
    </row>
    <row r="452" spans="1:14">
      <c r="A452" s="1488">
        <v>363</v>
      </c>
      <c r="B452" s="1563">
        <v>34</v>
      </c>
      <c r="C452" s="1490" t="s">
        <v>3562</v>
      </c>
      <c r="D452" s="1491" t="s">
        <v>3557</v>
      </c>
      <c r="E452" s="1492" t="s">
        <v>435</v>
      </c>
      <c r="F452" s="1560">
        <v>1</v>
      </c>
      <c r="G452" s="1560">
        <v>7000000</v>
      </c>
      <c r="H452" s="1560">
        <f t="shared" si="30"/>
        <v>7000000</v>
      </c>
      <c r="I452" s="1560">
        <v>1</v>
      </c>
      <c r="J452" s="1560">
        <v>7050240</v>
      </c>
      <c r="K452" s="1560">
        <f t="shared" si="32"/>
        <v>7050240</v>
      </c>
      <c r="L452" s="1560">
        <f t="shared" si="31"/>
        <v>50240</v>
      </c>
      <c r="M452" s="1560" t="s">
        <v>3505</v>
      </c>
      <c r="N452" s="1562" t="s">
        <v>3506</v>
      </c>
    </row>
    <row r="453" spans="1:14">
      <c r="A453" s="1488">
        <v>364</v>
      </c>
      <c r="B453" s="1563">
        <v>35</v>
      </c>
      <c r="C453" s="1487" t="s">
        <v>3563</v>
      </c>
      <c r="D453" s="1491" t="s">
        <v>3557</v>
      </c>
      <c r="E453" s="1491" t="s">
        <v>435</v>
      </c>
      <c r="F453" s="1560">
        <v>1</v>
      </c>
      <c r="G453" s="1560">
        <v>4900000</v>
      </c>
      <c r="H453" s="1560">
        <f t="shared" si="30"/>
        <v>4900000</v>
      </c>
      <c r="I453" s="1560">
        <v>1</v>
      </c>
      <c r="J453" s="1560">
        <v>4976640</v>
      </c>
      <c r="K453" s="1560">
        <f t="shared" si="32"/>
        <v>4976640</v>
      </c>
      <c r="L453" s="1560">
        <f t="shared" si="31"/>
        <v>76640</v>
      </c>
      <c r="M453" s="1560" t="s">
        <v>3505</v>
      </c>
      <c r="N453" s="1562" t="s">
        <v>3506</v>
      </c>
    </row>
    <row r="454" spans="1:14">
      <c r="A454" s="1488">
        <v>365</v>
      </c>
      <c r="B454" s="1563">
        <v>36</v>
      </c>
      <c r="C454" s="1487" t="s">
        <v>3564</v>
      </c>
      <c r="D454" s="1491" t="s">
        <v>3557</v>
      </c>
      <c r="E454" s="1491" t="s">
        <v>435</v>
      </c>
      <c r="F454" s="1560">
        <v>1</v>
      </c>
      <c r="G454" s="1560">
        <v>15300000</v>
      </c>
      <c r="H454" s="1560">
        <f t="shared" si="30"/>
        <v>15300000</v>
      </c>
      <c r="I454" s="1560">
        <v>1</v>
      </c>
      <c r="J454" s="1560">
        <v>15344640</v>
      </c>
      <c r="K454" s="1560">
        <f t="shared" si="32"/>
        <v>15344640</v>
      </c>
      <c r="L454" s="1560">
        <f t="shared" si="31"/>
        <v>44640</v>
      </c>
      <c r="M454" s="1560" t="s">
        <v>3505</v>
      </c>
      <c r="N454" s="1562" t="s">
        <v>3506</v>
      </c>
    </row>
    <row r="455" spans="1:14">
      <c r="A455" s="1488">
        <v>366</v>
      </c>
      <c r="B455" s="1563">
        <v>37</v>
      </c>
      <c r="C455" s="1487" t="s">
        <v>3565</v>
      </c>
      <c r="D455" s="1491" t="s">
        <v>3557</v>
      </c>
      <c r="E455" s="1491" t="s">
        <v>435</v>
      </c>
      <c r="F455" s="1560">
        <v>1</v>
      </c>
      <c r="G455" s="1560">
        <v>20700000</v>
      </c>
      <c r="H455" s="1560">
        <f t="shared" si="30"/>
        <v>20700000</v>
      </c>
      <c r="I455" s="1560">
        <v>1</v>
      </c>
      <c r="J455" s="1560">
        <v>20736000</v>
      </c>
      <c r="K455" s="1560">
        <f t="shared" si="32"/>
        <v>20736000</v>
      </c>
      <c r="L455" s="1560">
        <f t="shared" si="31"/>
        <v>36000</v>
      </c>
      <c r="M455" s="1560" t="s">
        <v>3505</v>
      </c>
      <c r="N455" s="1562" t="s">
        <v>3506</v>
      </c>
    </row>
    <row r="456" spans="1:14">
      <c r="A456" s="1488">
        <v>367</v>
      </c>
      <c r="B456" s="1563">
        <v>38</v>
      </c>
      <c r="C456" s="1487" t="s">
        <v>3566</v>
      </c>
      <c r="D456" s="1491" t="s">
        <v>3567</v>
      </c>
      <c r="E456" s="1491" t="s">
        <v>435</v>
      </c>
      <c r="F456" s="1560">
        <v>1</v>
      </c>
      <c r="G456" s="1560">
        <v>7400000</v>
      </c>
      <c r="H456" s="1560">
        <f t="shared" si="30"/>
        <v>7400000</v>
      </c>
      <c r="I456" s="1560">
        <v>1</v>
      </c>
      <c r="J456" s="1560">
        <v>7500000</v>
      </c>
      <c r="K456" s="1560">
        <f t="shared" si="32"/>
        <v>7500000</v>
      </c>
      <c r="L456" s="1560">
        <f t="shared" si="31"/>
        <v>100000</v>
      </c>
      <c r="M456" s="1560" t="s">
        <v>3505</v>
      </c>
      <c r="N456" s="1562" t="s">
        <v>3506</v>
      </c>
    </row>
    <row r="457" spans="1:14">
      <c r="A457" s="1488">
        <v>368</v>
      </c>
      <c r="B457" s="1563">
        <v>39</v>
      </c>
      <c r="C457" s="1487" t="s">
        <v>3568</v>
      </c>
      <c r="D457" s="1491" t="s">
        <v>3569</v>
      </c>
      <c r="E457" s="1491" t="s">
        <v>435</v>
      </c>
      <c r="F457" s="1560">
        <v>1</v>
      </c>
      <c r="G457" s="1560">
        <v>8000000</v>
      </c>
      <c r="H457" s="1560">
        <f t="shared" si="30"/>
        <v>8000000</v>
      </c>
      <c r="I457" s="1560">
        <v>1</v>
      </c>
      <c r="J457" s="1560">
        <v>8100000</v>
      </c>
      <c r="K457" s="1560">
        <f t="shared" si="32"/>
        <v>8100000</v>
      </c>
      <c r="L457" s="1560">
        <f t="shared" si="31"/>
        <v>100000</v>
      </c>
      <c r="M457" s="1560" t="s">
        <v>3505</v>
      </c>
      <c r="N457" s="1562" t="s">
        <v>3506</v>
      </c>
    </row>
    <row r="458" spans="1:14">
      <c r="A458" s="1488">
        <v>369</v>
      </c>
      <c r="B458" s="1563">
        <v>40</v>
      </c>
      <c r="C458" s="1487" t="s">
        <v>3570</v>
      </c>
      <c r="D458" s="1491" t="s">
        <v>3557</v>
      </c>
      <c r="E458" s="1491" t="s">
        <v>435</v>
      </c>
      <c r="F458" s="1560">
        <v>1</v>
      </c>
      <c r="G458" s="1560">
        <v>3200000</v>
      </c>
      <c r="H458" s="1560">
        <f t="shared" si="30"/>
        <v>3200000</v>
      </c>
      <c r="I458" s="1560">
        <v>1</v>
      </c>
      <c r="J458" s="1560">
        <v>3265000</v>
      </c>
      <c r="K458" s="1560">
        <f t="shared" si="32"/>
        <v>3265000</v>
      </c>
      <c r="L458" s="1560">
        <f t="shared" si="31"/>
        <v>65000</v>
      </c>
      <c r="M458" s="1560" t="s">
        <v>3505</v>
      </c>
      <c r="N458" s="1562" t="s">
        <v>3506</v>
      </c>
    </row>
    <row r="459" spans="1:14">
      <c r="A459" s="1488">
        <v>370</v>
      </c>
      <c r="B459" s="1563">
        <v>41</v>
      </c>
      <c r="C459" s="1487" t="s">
        <v>3571</v>
      </c>
      <c r="D459" s="1491" t="s">
        <v>3572</v>
      </c>
      <c r="E459" s="1491" t="s">
        <v>435</v>
      </c>
      <c r="F459" s="1560">
        <v>1</v>
      </c>
      <c r="G459" s="1560">
        <v>7000000</v>
      </c>
      <c r="H459" s="1560">
        <f t="shared" si="30"/>
        <v>7000000</v>
      </c>
      <c r="I459" s="1560">
        <v>1</v>
      </c>
      <c r="J459" s="1560">
        <v>7070000</v>
      </c>
      <c r="K459" s="1560">
        <f t="shared" si="32"/>
        <v>7070000</v>
      </c>
      <c r="L459" s="1560">
        <f t="shared" si="31"/>
        <v>70000</v>
      </c>
      <c r="M459" s="1560" t="s">
        <v>3505</v>
      </c>
      <c r="N459" s="1562" t="s">
        <v>3506</v>
      </c>
    </row>
    <row r="460" spans="1:14">
      <c r="A460" s="1488">
        <v>371</v>
      </c>
      <c r="B460" s="1563">
        <v>42</v>
      </c>
      <c r="C460" s="1487" t="s">
        <v>3573</v>
      </c>
      <c r="D460" s="1491" t="s">
        <v>3574</v>
      </c>
      <c r="E460" s="1491" t="s">
        <v>435</v>
      </c>
      <c r="F460" s="1560">
        <v>1</v>
      </c>
      <c r="G460" s="1560">
        <v>3300000</v>
      </c>
      <c r="H460" s="1560">
        <f t="shared" si="30"/>
        <v>3300000</v>
      </c>
      <c r="I460" s="1560">
        <v>1</v>
      </c>
      <c r="J460" s="1560">
        <v>3370000</v>
      </c>
      <c r="K460" s="1560">
        <f t="shared" si="32"/>
        <v>3370000</v>
      </c>
      <c r="L460" s="1560">
        <f t="shared" si="31"/>
        <v>70000</v>
      </c>
      <c r="M460" s="1560" t="s">
        <v>3505</v>
      </c>
      <c r="N460" s="1562" t="s">
        <v>3506</v>
      </c>
    </row>
    <row r="461" spans="1:14">
      <c r="A461" s="1488">
        <v>372</v>
      </c>
      <c r="B461" s="1563">
        <v>43</v>
      </c>
      <c r="C461" s="1487" t="s">
        <v>3575</v>
      </c>
      <c r="D461" s="1491" t="s">
        <v>3167</v>
      </c>
      <c r="E461" s="1491" t="s">
        <v>435</v>
      </c>
      <c r="F461" s="1560">
        <v>1</v>
      </c>
      <c r="G461" s="1560">
        <v>5500000</v>
      </c>
      <c r="H461" s="1560">
        <f t="shared" si="30"/>
        <v>5500000</v>
      </c>
      <c r="I461" s="1560">
        <v>1</v>
      </c>
      <c r="J461" s="1560">
        <v>5550000</v>
      </c>
      <c r="K461" s="1560">
        <f t="shared" si="32"/>
        <v>5550000</v>
      </c>
      <c r="L461" s="1560">
        <f t="shared" si="31"/>
        <v>50000</v>
      </c>
      <c r="M461" s="1560" t="s">
        <v>3505</v>
      </c>
      <c r="N461" s="1562" t="s">
        <v>3506</v>
      </c>
    </row>
    <row r="462" spans="1:14">
      <c r="A462" s="1488">
        <v>373</v>
      </c>
      <c r="B462" s="1563">
        <v>44</v>
      </c>
      <c r="C462" s="1487" t="s">
        <v>3576</v>
      </c>
      <c r="D462" s="1491" t="s">
        <v>3577</v>
      </c>
      <c r="E462" s="1491" t="s">
        <v>435</v>
      </c>
      <c r="F462" s="1560">
        <v>1</v>
      </c>
      <c r="G462" s="1560">
        <v>11900000</v>
      </c>
      <c r="H462" s="1560">
        <f t="shared" si="30"/>
        <v>11900000</v>
      </c>
      <c r="I462" s="1560">
        <v>1</v>
      </c>
      <c r="J462" s="1560">
        <v>11975000</v>
      </c>
      <c r="K462" s="1560">
        <f t="shared" si="32"/>
        <v>11975000</v>
      </c>
      <c r="L462" s="1560">
        <f t="shared" si="31"/>
        <v>75000</v>
      </c>
      <c r="M462" s="1560" t="s">
        <v>3505</v>
      </c>
      <c r="N462" s="1562" t="s">
        <v>3506</v>
      </c>
    </row>
    <row r="463" spans="1:14">
      <c r="A463" s="1488">
        <v>374</v>
      </c>
      <c r="B463" s="1563">
        <v>45</v>
      </c>
      <c r="C463" s="1487" t="s">
        <v>3578</v>
      </c>
      <c r="D463" s="1491" t="s">
        <v>3574</v>
      </c>
      <c r="E463" s="1491" t="s">
        <v>435</v>
      </c>
      <c r="F463" s="1560">
        <v>1</v>
      </c>
      <c r="G463" s="1560">
        <v>6750000</v>
      </c>
      <c r="H463" s="1560">
        <f t="shared" si="30"/>
        <v>6750000</v>
      </c>
      <c r="I463" s="1560">
        <v>1</v>
      </c>
      <c r="J463" s="1560">
        <v>6800000</v>
      </c>
      <c r="K463" s="1560">
        <f t="shared" si="32"/>
        <v>6800000</v>
      </c>
      <c r="L463" s="1560">
        <f t="shared" si="31"/>
        <v>50000</v>
      </c>
      <c r="M463" s="1560" t="s">
        <v>3505</v>
      </c>
      <c r="N463" s="1562" t="s">
        <v>3506</v>
      </c>
    </row>
    <row r="464" spans="1:14">
      <c r="A464" s="1488">
        <v>375</v>
      </c>
      <c r="B464" s="1563">
        <v>46</v>
      </c>
      <c r="C464" s="1487" t="s">
        <v>3579</v>
      </c>
      <c r="D464" s="1491" t="s">
        <v>3577</v>
      </c>
      <c r="E464" s="1491" t="s">
        <v>435</v>
      </c>
      <c r="F464" s="1560">
        <v>1</v>
      </c>
      <c r="G464" s="1560">
        <v>11750000</v>
      </c>
      <c r="H464" s="1560">
        <f t="shared" si="30"/>
        <v>11750000</v>
      </c>
      <c r="I464" s="1560">
        <v>1</v>
      </c>
      <c r="J464" s="1560">
        <v>11800000</v>
      </c>
      <c r="K464" s="1560">
        <f t="shared" si="32"/>
        <v>11800000</v>
      </c>
      <c r="L464" s="1560">
        <f t="shared" si="31"/>
        <v>50000</v>
      </c>
      <c r="M464" s="1560" t="s">
        <v>3505</v>
      </c>
      <c r="N464" s="1562" t="s">
        <v>3506</v>
      </c>
    </row>
    <row r="465" spans="1:14">
      <c r="A465" s="1574">
        <v>376</v>
      </c>
      <c r="B465" s="1575">
        <v>47</v>
      </c>
      <c r="C465" s="1681" t="s">
        <v>3580</v>
      </c>
      <c r="D465" s="1496" t="s">
        <v>3581</v>
      </c>
      <c r="E465" s="1496" t="s">
        <v>435</v>
      </c>
      <c r="F465" s="1630">
        <v>1</v>
      </c>
      <c r="G465" s="1630">
        <v>6750000</v>
      </c>
      <c r="H465" s="1630">
        <f t="shared" si="30"/>
        <v>6750000</v>
      </c>
      <c r="I465" s="1630">
        <v>1</v>
      </c>
      <c r="J465" s="1630">
        <v>6800000</v>
      </c>
      <c r="K465" s="1630">
        <f t="shared" si="32"/>
        <v>6800000</v>
      </c>
      <c r="L465" s="1630">
        <f t="shared" si="31"/>
        <v>50000</v>
      </c>
      <c r="M465" s="1630" t="s">
        <v>3505</v>
      </c>
      <c r="N465" s="1631" t="s">
        <v>3506</v>
      </c>
    </row>
    <row r="466" spans="1:14">
      <c r="A466" s="1501"/>
      <c r="B466" s="1502"/>
      <c r="C466" s="1535" t="s">
        <v>958</v>
      </c>
      <c r="D466" s="1536"/>
      <c r="E466" s="1536"/>
      <c r="F466" s="1723"/>
      <c r="G466" s="1723"/>
      <c r="H466" s="1547">
        <f>SUM(H419:H465)</f>
        <v>7026100000</v>
      </c>
      <c r="I466" s="1667"/>
      <c r="J466" s="1583"/>
      <c r="K466" s="1547">
        <f>SUM(K419:K465)</f>
        <v>7285592524.8512001</v>
      </c>
      <c r="L466" s="1547"/>
      <c r="M466" s="1510"/>
      <c r="N466" s="1511"/>
    </row>
    <row r="467" spans="1:14">
      <c r="A467" s="1512"/>
      <c r="B467" s="1513"/>
      <c r="C467" s="1588"/>
      <c r="D467" s="1515"/>
      <c r="E467" s="1515"/>
      <c r="F467" s="1589"/>
      <c r="G467" s="1589"/>
      <c r="H467" s="1589"/>
      <c r="I467" s="1643"/>
      <c r="J467" s="1585"/>
      <c r="K467" s="1585"/>
      <c r="L467" s="1585"/>
    </row>
    <row r="468" spans="1:14">
      <c r="A468" s="1512"/>
      <c r="B468" s="1513"/>
      <c r="C468" s="1588"/>
      <c r="D468" s="1515"/>
      <c r="E468" s="1515"/>
      <c r="F468" s="1589"/>
      <c r="G468" s="1589"/>
      <c r="H468" s="1589"/>
      <c r="I468" s="1643"/>
      <c r="J468" s="1585"/>
      <c r="K468" s="1585"/>
      <c r="L468" s="1585"/>
    </row>
    <row r="469" spans="1:14">
      <c r="A469" s="1512"/>
      <c r="B469" s="1513"/>
      <c r="C469" s="1588"/>
      <c r="D469" s="1515"/>
      <c r="E469" s="1515"/>
      <c r="F469" s="1589"/>
      <c r="G469" s="1589"/>
      <c r="H469" s="1589"/>
      <c r="I469" s="1643"/>
      <c r="J469" s="1585"/>
      <c r="K469" s="1585"/>
      <c r="L469" s="1585"/>
    </row>
    <row r="470" spans="1:14">
      <c r="A470" s="2196" t="s">
        <v>3582</v>
      </c>
      <c r="B470" s="2196"/>
      <c r="C470" s="2196"/>
      <c r="D470" s="2196"/>
      <c r="E470" s="2196"/>
      <c r="F470" s="2196"/>
      <c r="G470" s="2196"/>
      <c r="H470" s="2196"/>
      <c r="I470" s="2196"/>
      <c r="J470" s="2196"/>
      <c r="K470" s="2196"/>
      <c r="L470" s="1475"/>
    </row>
    <row r="471" spans="1:14">
      <c r="C471" s="1465"/>
    </row>
    <row r="472" spans="1:14" ht="27">
      <c r="A472" s="2197" t="s">
        <v>2901</v>
      </c>
      <c r="B472" s="2199" t="s">
        <v>2902</v>
      </c>
      <c r="C472" s="2201" t="s">
        <v>2607</v>
      </c>
      <c r="D472" s="2203" t="s">
        <v>2608</v>
      </c>
      <c r="E472" s="2199" t="s">
        <v>2609</v>
      </c>
      <c r="F472" s="2205" t="s">
        <v>2903</v>
      </c>
      <c r="G472" s="2206"/>
      <c r="H472" s="2207"/>
      <c r="I472" s="2205" t="s">
        <v>2904</v>
      </c>
      <c r="J472" s="2206"/>
      <c r="K472" s="2207"/>
      <c r="L472" s="1476" t="s">
        <v>2905</v>
      </c>
      <c r="M472" s="2197" t="s">
        <v>2906</v>
      </c>
      <c r="N472" s="2208" t="s">
        <v>2907</v>
      </c>
    </row>
    <row r="473" spans="1:14">
      <c r="A473" s="2198"/>
      <c r="B473" s="2200"/>
      <c r="C473" s="2210"/>
      <c r="D473" s="2211"/>
      <c r="E473" s="2215"/>
      <c r="F473" s="1670" t="s">
        <v>2908</v>
      </c>
      <c r="G473" s="1671" t="s">
        <v>2611</v>
      </c>
      <c r="H473" s="1806" t="s">
        <v>2612</v>
      </c>
      <c r="I473" s="1670" t="s">
        <v>2908</v>
      </c>
      <c r="J473" s="1671" t="s">
        <v>2611</v>
      </c>
      <c r="K473" s="1806" t="s">
        <v>2612</v>
      </c>
      <c r="L473" s="1479"/>
      <c r="M473" s="2198"/>
      <c r="N473" s="2209"/>
    </row>
    <row r="474" spans="1:14">
      <c r="A474" s="1480">
        <v>377</v>
      </c>
      <c r="B474" s="1807">
        <v>1</v>
      </c>
      <c r="C474" s="1673" t="s">
        <v>3583</v>
      </c>
      <c r="D474" s="1480" t="s">
        <v>3584</v>
      </c>
      <c r="E474" s="1520" t="s">
        <v>435</v>
      </c>
      <c r="F474" s="1808">
        <v>10</v>
      </c>
      <c r="G474" s="1808">
        <v>3499900</v>
      </c>
      <c r="H474" s="1808">
        <f>G474*F474</f>
        <v>34999000</v>
      </c>
      <c r="I474" s="1650">
        <v>10</v>
      </c>
      <c r="J474" s="1651">
        <v>3499997</v>
      </c>
      <c r="K474" s="1652">
        <f>I474*J474</f>
        <v>34999970</v>
      </c>
      <c r="L474" s="1594">
        <f t="shared" ref="L474:L483" si="33">J474-G474</f>
        <v>97</v>
      </c>
      <c r="M474" s="1809" t="s">
        <v>3585</v>
      </c>
      <c r="N474" s="1810" t="s">
        <v>3586</v>
      </c>
    </row>
    <row r="475" spans="1:14" ht="18">
      <c r="A475" s="1488">
        <v>378</v>
      </c>
      <c r="B475" s="1811">
        <v>2</v>
      </c>
      <c r="C475" s="1487" t="s">
        <v>3587</v>
      </c>
      <c r="D475" s="1488" t="s">
        <v>3588</v>
      </c>
      <c r="E475" s="1526" t="s">
        <v>435</v>
      </c>
      <c r="F475" s="1812">
        <v>5</v>
      </c>
      <c r="G475" s="1812">
        <v>4804800</v>
      </c>
      <c r="H475" s="1812">
        <f t="shared" ref="H475:H483" si="34">G475*F475</f>
        <v>24024000</v>
      </c>
      <c r="I475" s="1602">
        <v>5</v>
      </c>
      <c r="J475" s="1603">
        <v>4804800</v>
      </c>
      <c r="K475" s="1560">
        <f t="shared" ref="K475:K483" si="35">I475*J475</f>
        <v>24024000</v>
      </c>
      <c r="L475" s="1600">
        <f t="shared" si="33"/>
        <v>0</v>
      </c>
      <c r="M475" s="1813" t="s">
        <v>3585</v>
      </c>
      <c r="N475" s="1814" t="s">
        <v>3586</v>
      </c>
    </row>
    <row r="476" spans="1:14">
      <c r="A476" s="1488">
        <v>379</v>
      </c>
      <c r="B476" s="1811">
        <v>3</v>
      </c>
      <c r="C476" s="1487" t="s">
        <v>3589</v>
      </c>
      <c r="D476" s="1488" t="s">
        <v>3590</v>
      </c>
      <c r="E476" s="1526" t="s">
        <v>435</v>
      </c>
      <c r="F476" s="1812">
        <v>5</v>
      </c>
      <c r="G476" s="1812">
        <v>44005500</v>
      </c>
      <c r="H476" s="1812">
        <f t="shared" si="34"/>
        <v>220027500</v>
      </c>
      <c r="I476" s="1602">
        <v>5</v>
      </c>
      <c r="J476" s="1603">
        <v>44005500</v>
      </c>
      <c r="K476" s="1560">
        <f t="shared" si="35"/>
        <v>220027500</v>
      </c>
      <c r="L476" s="1600">
        <f t="shared" si="33"/>
        <v>0</v>
      </c>
      <c r="M476" s="1813" t="s">
        <v>3585</v>
      </c>
      <c r="N476" s="1814" t="s">
        <v>3586</v>
      </c>
    </row>
    <row r="477" spans="1:14">
      <c r="A477" s="1488">
        <v>380</v>
      </c>
      <c r="B477" s="1811">
        <v>4</v>
      </c>
      <c r="C477" s="1487" t="s">
        <v>3591</v>
      </c>
      <c r="D477" s="1488" t="s">
        <v>3592</v>
      </c>
      <c r="E477" s="1526" t="s">
        <v>435</v>
      </c>
      <c r="F477" s="1812">
        <v>5</v>
      </c>
      <c r="G477" s="1812">
        <v>2497000</v>
      </c>
      <c r="H477" s="1812">
        <f t="shared" si="34"/>
        <v>12485000</v>
      </c>
      <c r="I477" s="1602">
        <v>5</v>
      </c>
      <c r="J477" s="1603">
        <v>2497000</v>
      </c>
      <c r="K477" s="1560">
        <f t="shared" si="35"/>
        <v>12485000</v>
      </c>
      <c r="L477" s="1600">
        <f t="shared" si="33"/>
        <v>0</v>
      </c>
      <c r="M477" s="1813" t="s">
        <v>3585</v>
      </c>
      <c r="N477" s="1814" t="s">
        <v>3586</v>
      </c>
    </row>
    <row r="478" spans="1:14">
      <c r="A478" s="1488">
        <v>381</v>
      </c>
      <c r="B478" s="1811">
        <v>5</v>
      </c>
      <c r="C478" s="1487" t="s">
        <v>3593</v>
      </c>
      <c r="D478" s="1488" t="s">
        <v>3588</v>
      </c>
      <c r="E478" s="1526" t="s">
        <v>435</v>
      </c>
      <c r="F478" s="1812">
        <v>5</v>
      </c>
      <c r="G478" s="1812">
        <v>5445100</v>
      </c>
      <c r="H478" s="1812">
        <f t="shared" si="34"/>
        <v>27225500</v>
      </c>
      <c r="I478" s="1602">
        <v>5</v>
      </c>
      <c r="J478" s="1603">
        <v>5445109</v>
      </c>
      <c r="K478" s="1560">
        <f t="shared" si="35"/>
        <v>27225545</v>
      </c>
      <c r="L478" s="1600">
        <f t="shared" si="33"/>
        <v>9</v>
      </c>
      <c r="M478" s="1813" t="s">
        <v>3585</v>
      </c>
      <c r="N478" s="1814" t="s">
        <v>3586</v>
      </c>
    </row>
    <row r="479" spans="1:14">
      <c r="A479" s="1488">
        <v>382</v>
      </c>
      <c r="B479" s="1811">
        <v>6</v>
      </c>
      <c r="C479" s="1570" t="s">
        <v>3594</v>
      </c>
      <c r="D479" s="1488" t="s">
        <v>3595</v>
      </c>
      <c r="E479" s="1815" t="s">
        <v>2055</v>
      </c>
      <c r="F479" s="1812">
        <v>500</v>
      </c>
      <c r="G479" s="1812">
        <v>150000</v>
      </c>
      <c r="H479" s="1812">
        <f t="shared" si="34"/>
        <v>75000000</v>
      </c>
      <c r="I479" s="1602">
        <v>500</v>
      </c>
      <c r="J479" s="1603">
        <v>150000</v>
      </c>
      <c r="K479" s="1560">
        <f t="shared" si="35"/>
        <v>75000000</v>
      </c>
      <c r="L479" s="1600">
        <f t="shared" si="33"/>
        <v>0</v>
      </c>
      <c r="M479" s="1813" t="s">
        <v>3596</v>
      </c>
      <c r="N479" s="1814" t="s">
        <v>3586</v>
      </c>
    </row>
    <row r="480" spans="1:14">
      <c r="A480" s="1488">
        <v>383</v>
      </c>
      <c r="B480" s="1811">
        <v>7</v>
      </c>
      <c r="C480" s="1570" t="s">
        <v>3597</v>
      </c>
      <c r="D480" s="1488" t="s">
        <v>3595</v>
      </c>
      <c r="E480" s="1815" t="s">
        <v>2055</v>
      </c>
      <c r="F480" s="1812">
        <v>500</v>
      </c>
      <c r="G480" s="1812">
        <v>150000</v>
      </c>
      <c r="H480" s="1812">
        <f t="shared" si="34"/>
        <v>75000000</v>
      </c>
      <c r="I480" s="1602">
        <v>500</v>
      </c>
      <c r="J480" s="1603">
        <v>150000</v>
      </c>
      <c r="K480" s="1560">
        <f t="shared" si="35"/>
        <v>75000000</v>
      </c>
      <c r="L480" s="1600">
        <f t="shared" si="33"/>
        <v>0</v>
      </c>
      <c r="M480" s="1813" t="s">
        <v>3596</v>
      </c>
      <c r="N480" s="1814" t="s">
        <v>3586</v>
      </c>
    </row>
    <row r="481" spans="1:14">
      <c r="A481" s="1488">
        <v>384</v>
      </c>
      <c r="B481" s="1811">
        <v>8</v>
      </c>
      <c r="C481" s="1570" t="s">
        <v>3598</v>
      </c>
      <c r="D481" s="1488" t="s">
        <v>3595</v>
      </c>
      <c r="E481" s="1815" t="s">
        <v>2055</v>
      </c>
      <c r="F481" s="1812">
        <v>500</v>
      </c>
      <c r="G481" s="1812">
        <v>150000</v>
      </c>
      <c r="H481" s="1812">
        <f t="shared" si="34"/>
        <v>75000000</v>
      </c>
      <c r="I481" s="1602">
        <v>500</v>
      </c>
      <c r="J481" s="1603">
        <v>150000</v>
      </c>
      <c r="K481" s="1560">
        <f t="shared" si="35"/>
        <v>75000000</v>
      </c>
      <c r="L481" s="1600">
        <f t="shared" si="33"/>
        <v>0</v>
      </c>
      <c r="M481" s="1813" t="s">
        <v>3596</v>
      </c>
      <c r="N481" s="1814" t="s">
        <v>3586</v>
      </c>
    </row>
    <row r="482" spans="1:14">
      <c r="A482" s="1488">
        <v>385</v>
      </c>
      <c r="B482" s="1811">
        <v>9</v>
      </c>
      <c r="C482" s="1570" t="s">
        <v>3599</v>
      </c>
      <c r="D482" s="1488" t="s">
        <v>3595</v>
      </c>
      <c r="E482" s="1815" t="s">
        <v>2055</v>
      </c>
      <c r="F482" s="1812">
        <v>400</v>
      </c>
      <c r="G482" s="1812">
        <v>250000</v>
      </c>
      <c r="H482" s="1812">
        <f t="shared" si="34"/>
        <v>100000000</v>
      </c>
      <c r="I482" s="1602">
        <v>400</v>
      </c>
      <c r="J482" s="1603">
        <v>250000</v>
      </c>
      <c r="K482" s="1560">
        <f t="shared" si="35"/>
        <v>100000000</v>
      </c>
      <c r="L482" s="1600">
        <f t="shared" si="33"/>
        <v>0</v>
      </c>
      <c r="M482" s="1813" t="s">
        <v>3596</v>
      </c>
      <c r="N482" s="1814" t="s">
        <v>3586</v>
      </c>
    </row>
    <row r="483" spans="1:14">
      <c r="A483" s="1574">
        <v>386</v>
      </c>
      <c r="B483" s="1816">
        <v>10</v>
      </c>
      <c r="C483" s="1681" t="s">
        <v>3600</v>
      </c>
      <c r="D483" s="1817" t="s">
        <v>3601</v>
      </c>
      <c r="E483" s="1540" t="s">
        <v>435</v>
      </c>
      <c r="F483" s="1818">
        <v>5</v>
      </c>
      <c r="G483" s="1818">
        <v>80005500</v>
      </c>
      <c r="H483" s="1818">
        <f t="shared" si="34"/>
        <v>400027500</v>
      </c>
      <c r="I483" s="1819">
        <v>5</v>
      </c>
      <c r="J483" s="1665">
        <v>80005500</v>
      </c>
      <c r="K483" s="1630">
        <f t="shared" si="35"/>
        <v>400027500</v>
      </c>
      <c r="L483" s="1820">
        <f t="shared" si="33"/>
        <v>0</v>
      </c>
      <c r="M483" s="1821" t="s">
        <v>3585</v>
      </c>
      <c r="N483" s="1822" t="s">
        <v>3586</v>
      </c>
    </row>
    <row r="484" spans="1:14">
      <c r="A484" s="1501"/>
      <c r="B484" s="1546"/>
      <c r="C484" s="1535" t="s">
        <v>958</v>
      </c>
      <c r="D484" s="1536"/>
      <c r="E484" s="1823"/>
      <c r="F484" s="1824"/>
      <c r="G484" s="1824"/>
      <c r="H484" s="1506">
        <f>SUM(H474:H483)</f>
        <v>1043788500</v>
      </c>
      <c r="I484" s="1825"/>
      <c r="J484" s="1547"/>
      <c r="K484" s="1547">
        <f>SUM(K474:K483)</f>
        <v>1043789515</v>
      </c>
      <c r="L484" s="1547"/>
      <c r="M484" s="1510"/>
      <c r="N484" s="1826"/>
    </row>
    <row r="485" spans="1:14">
      <c r="C485" s="1465"/>
    </row>
    <row r="486" spans="1:14">
      <c r="C486" s="1465"/>
    </row>
    <row r="487" spans="1:14" ht="18.75">
      <c r="A487" s="2214"/>
      <c r="B487" s="2214"/>
      <c r="C487" s="2214"/>
      <c r="D487" s="2214"/>
      <c r="E487" s="2214"/>
      <c r="F487" s="2214"/>
      <c r="G487" s="2214"/>
      <c r="H487" s="2214"/>
      <c r="I487" s="2214"/>
      <c r="J487" s="2214"/>
      <c r="K487" s="2214"/>
      <c r="L487" s="1644"/>
    </row>
    <row r="488" spans="1:14">
      <c r="A488" s="2196" t="s">
        <v>3602</v>
      </c>
      <c r="B488" s="2196"/>
      <c r="C488" s="2196"/>
      <c r="D488" s="2196"/>
      <c r="E488" s="2196"/>
      <c r="F488" s="2196"/>
      <c r="G488" s="2196"/>
      <c r="H488" s="2196"/>
      <c r="I488" s="2196"/>
      <c r="J488" s="2196"/>
      <c r="K488" s="2196"/>
      <c r="L488" s="1475"/>
    </row>
    <row r="489" spans="1:14" ht="18.75">
      <c r="B489" s="2231"/>
      <c r="C489" s="2231"/>
      <c r="D489" s="2231"/>
      <c r="E489" s="2231"/>
      <c r="F489" s="2231"/>
      <c r="G489" s="2231"/>
      <c r="H489" s="2231"/>
      <c r="I489" s="2231"/>
      <c r="J489" s="2231"/>
      <c r="K489" s="2231"/>
      <c r="L489" s="1827"/>
    </row>
    <row r="490" spans="1:14" ht="27">
      <c r="A490" s="2197" t="s">
        <v>2901</v>
      </c>
      <c r="B490" s="2199" t="s">
        <v>2902</v>
      </c>
      <c r="C490" s="2201" t="s">
        <v>2607</v>
      </c>
      <c r="D490" s="2203" t="s">
        <v>2608</v>
      </c>
      <c r="E490" s="2199" t="s">
        <v>2609</v>
      </c>
      <c r="F490" s="2205" t="s">
        <v>2903</v>
      </c>
      <c r="G490" s="2206"/>
      <c r="H490" s="2207"/>
      <c r="I490" s="2205" t="s">
        <v>2904</v>
      </c>
      <c r="J490" s="2206"/>
      <c r="K490" s="2207"/>
      <c r="L490" s="1476" t="s">
        <v>2905</v>
      </c>
      <c r="M490" s="2197" t="s">
        <v>2906</v>
      </c>
      <c r="N490" s="2208" t="s">
        <v>2907</v>
      </c>
    </row>
    <row r="491" spans="1:14">
      <c r="A491" s="2198"/>
      <c r="B491" s="2200"/>
      <c r="C491" s="2210"/>
      <c r="D491" s="2211"/>
      <c r="E491" s="2200"/>
      <c r="F491" s="1477" t="s">
        <v>2908</v>
      </c>
      <c r="G491" s="1671" t="s">
        <v>2611</v>
      </c>
      <c r="H491" s="1806" t="s">
        <v>2612</v>
      </c>
      <c r="I491" s="1670" t="s">
        <v>2908</v>
      </c>
      <c r="J491" s="1671" t="s">
        <v>2611</v>
      </c>
      <c r="K491" s="1806" t="s">
        <v>2612</v>
      </c>
      <c r="L491" s="1479"/>
      <c r="M491" s="2198"/>
      <c r="N491" s="2209"/>
    </row>
    <row r="492" spans="1:14">
      <c r="A492" s="1488">
        <v>387</v>
      </c>
      <c r="B492" s="1707">
        <v>1</v>
      </c>
      <c r="C492" s="1828" t="s">
        <v>3603</v>
      </c>
      <c r="D492" s="1492" t="s">
        <v>3604</v>
      </c>
      <c r="E492" s="1829" t="s">
        <v>3488</v>
      </c>
      <c r="F492" s="1830">
        <v>14000</v>
      </c>
      <c r="G492" s="1831">
        <v>22500</v>
      </c>
      <c r="H492" s="1832">
        <f>G492*F492</f>
        <v>315000000</v>
      </c>
      <c r="I492" s="1519">
        <v>14000</v>
      </c>
      <c r="J492" s="1651">
        <v>23000</v>
      </c>
      <c r="K492" s="1652">
        <f>I492*J492</f>
        <v>322000000</v>
      </c>
      <c r="L492" s="1594">
        <f t="shared" ref="L492:L521" si="36">J492-G492</f>
        <v>500</v>
      </c>
      <c r="M492" s="1833" t="s">
        <v>3605</v>
      </c>
      <c r="N492" s="1834" t="s">
        <v>3606</v>
      </c>
    </row>
    <row r="493" spans="1:14">
      <c r="A493" s="1488">
        <v>388</v>
      </c>
      <c r="B493" s="1707">
        <v>2</v>
      </c>
      <c r="C493" s="1828" t="s">
        <v>3607</v>
      </c>
      <c r="D493" s="1492" t="s">
        <v>3604</v>
      </c>
      <c r="E493" s="1829" t="s">
        <v>3488</v>
      </c>
      <c r="F493" s="1835">
        <v>30000</v>
      </c>
      <c r="G493" s="1836">
        <v>29500</v>
      </c>
      <c r="H493" s="1837">
        <f t="shared" ref="H493:H521" si="37">G493*F493</f>
        <v>885000000</v>
      </c>
      <c r="I493" s="1602">
        <v>30000</v>
      </c>
      <c r="J493" s="1838">
        <v>31000</v>
      </c>
      <c r="K493" s="1560">
        <f t="shared" ref="K493:K521" si="38">I493*J493</f>
        <v>930000000</v>
      </c>
      <c r="L493" s="1600">
        <f t="shared" si="36"/>
        <v>1500</v>
      </c>
      <c r="M493" s="1839" t="s">
        <v>3608</v>
      </c>
      <c r="N493" s="1834" t="s">
        <v>3606</v>
      </c>
    </row>
    <row r="494" spans="1:14">
      <c r="A494" s="1488">
        <v>389</v>
      </c>
      <c r="B494" s="1707">
        <v>3</v>
      </c>
      <c r="C494" s="1828" t="s">
        <v>3609</v>
      </c>
      <c r="D494" s="1492" t="s">
        <v>3604</v>
      </c>
      <c r="E494" s="1829" t="s">
        <v>3488</v>
      </c>
      <c r="F494" s="1835">
        <v>35000</v>
      </c>
      <c r="G494" s="1836">
        <v>21000</v>
      </c>
      <c r="H494" s="1837">
        <f t="shared" si="37"/>
        <v>735000000</v>
      </c>
      <c r="I494" s="1602">
        <v>35000</v>
      </c>
      <c r="J494" s="1838">
        <v>21500</v>
      </c>
      <c r="K494" s="1560">
        <f t="shared" si="38"/>
        <v>752500000</v>
      </c>
      <c r="L494" s="1600">
        <f t="shared" si="36"/>
        <v>500</v>
      </c>
      <c r="M494" s="1839" t="s">
        <v>3608</v>
      </c>
      <c r="N494" s="1834" t="s">
        <v>3606</v>
      </c>
    </row>
    <row r="495" spans="1:14">
      <c r="A495" s="1488">
        <v>390</v>
      </c>
      <c r="B495" s="1707">
        <v>4</v>
      </c>
      <c r="C495" s="1828" t="s">
        <v>3610</v>
      </c>
      <c r="D495" s="1492" t="s">
        <v>3604</v>
      </c>
      <c r="E495" s="1829" t="s">
        <v>3488</v>
      </c>
      <c r="F495" s="1835">
        <v>4000</v>
      </c>
      <c r="G495" s="1836">
        <v>31800</v>
      </c>
      <c r="H495" s="1837">
        <f t="shared" si="37"/>
        <v>127200000</v>
      </c>
      <c r="I495" s="1602">
        <v>4000</v>
      </c>
      <c r="J495" s="1838">
        <v>32200</v>
      </c>
      <c r="K495" s="1560">
        <f t="shared" si="38"/>
        <v>128800000</v>
      </c>
      <c r="L495" s="1600">
        <f t="shared" si="36"/>
        <v>400</v>
      </c>
      <c r="M495" s="1839" t="s">
        <v>3608</v>
      </c>
      <c r="N495" s="1834" t="s">
        <v>3606</v>
      </c>
    </row>
    <row r="496" spans="1:14">
      <c r="A496" s="1488">
        <v>391</v>
      </c>
      <c r="B496" s="1707">
        <v>5</v>
      </c>
      <c r="C496" s="1828" t="s">
        <v>3611</v>
      </c>
      <c r="D496" s="1492" t="s">
        <v>3604</v>
      </c>
      <c r="E496" s="1829" t="s">
        <v>3488</v>
      </c>
      <c r="F496" s="1835">
        <v>5000</v>
      </c>
      <c r="G496" s="1836">
        <v>22500</v>
      </c>
      <c r="H496" s="1837">
        <f t="shared" si="37"/>
        <v>112500000</v>
      </c>
      <c r="I496" s="1602">
        <v>5000</v>
      </c>
      <c r="J496" s="1838">
        <v>22800</v>
      </c>
      <c r="K496" s="1560">
        <f t="shared" si="38"/>
        <v>114000000</v>
      </c>
      <c r="L496" s="1600">
        <f t="shared" si="36"/>
        <v>300</v>
      </c>
      <c r="M496" s="1839" t="s">
        <v>3608</v>
      </c>
      <c r="N496" s="1834" t="s">
        <v>3606</v>
      </c>
    </row>
    <row r="497" spans="1:14">
      <c r="A497" s="1488">
        <v>392</v>
      </c>
      <c r="B497" s="1707">
        <v>6</v>
      </c>
      <c r="C497" s="1828" t="s">
        <v>3612</v>
      </c>
      <c r="D497" s="1492" t="s">
        <v>3613</v>
      </c>
      <c r="E497" s="1829" t="s">
        <v>3488</v>
      </c>
      <c r="F497" s="1835">
        <v>500</v>
      </c>
      <c r="G497" s="1836">
        <v>23600</v>
      </c>
      <c r="H497" s="1837">
        <f t="shared" si="37"/>
        <v>11800000</v>
      </c>
      <c r="I497" s="1602">
        <v>500</v>
      </c>
      <c r="J497" s="1838">
        <v>24300</v>
      </c>
      <c r="K497" s="1560">
        <f t="shared" si="38"/>
        <v>12150000</v>
      </c>
      <c r="L497" s="1600">
        <f t="shared" si="36"/>
        <v>700</v>
      </c>
      <c r="M497" s="1839" t="s">
        <v>3608</v>
      </c>
      <c r="N497" s="1834" t="s">
        <v>3606</v>
      </c>
    </row>
    <row r="498" spans="1:14" ht="18">
      <c r="A498" s="1488">
        <v>393</v>
      </c>
      <c r="B498" s="1707">
        <v>7</v>
      </c>
      <c r="C498" s="1828" t="s">
        <v>3614</v>
      </c>
      <c r="D498" s="1492" t="s">
        <v>3613</v>
      </c>
      <c r="E498" s="1829" t="s">
        <v>3488</v>
      </c>
      <c r="F498" s="1835">
        <v>300</v>
      </c>
      <c r="G498" s="1836">
        <v>45200</v>
      </c>
      <c r="H498" s="1837">
        <f t="shared" si="37"/>
        <v>13560000</v>
      </c>
      <c r="I498" s="1602">
        <v>300</v>
      </c>
      <c r="J498" s="1838">
        <v>46100</v>
      </c>
      <c r="K498" s="1560">
        <f t="shared" si="38"/>
        <v>13830000</v>
      </c>
      <c r="L498" s="1600">
        <f t="shared" si="36"/>
        <v>900</v>
      </c>
      <c r="M498" s="1839" t="s">
        <v>3608</v>
      </c>
      <c r="N498" s="1834" t="s">
        <v>3606</v>
      </c>
    </row>
    <row r="499" spans="1:14">
      <c r="A499" s="1488">
        <v>394</v>
      </c>
      <c r="B499" s="1707">
        <v>8</v>
      </c>
      <c r="C499" s="1828" t="s">
        <v>3615</v>
      </c>
      <c r="D499" s="1492" t="s">
        <v>3616</v>
      </c>
      <c r="E499" s="1829" t="s">
        <v>3488</v>
      </c>
      <c r="F499" s="1835">
        <v>300</v>
      </c>
      <c r="G499" s="1836">
        <v>57600</v>
      </c>
      <c r="H499" s="1837">
        <f t="shared" si="37"/>
        <v>17280000</v>
      </c>
      <c r="I499" s="1602">
        <v>300</v>
      </c>
      <c r="J499" s="1838">
        <v>58200</v>
      </c>
      <c r="K499" s="1560">
        <f t="shared" si="38"/>
        <v>17460000</v>
      </c>
      <c r="L499" s="1600">
        <f t="shared" si="36"/>
        <v>600</v>
      </c>
      <c r="M499" s="1839" t="s">
        <v>3608</v>
      </c>
      <c r="N499" s="1834" t="s">
        <v>3606</v>
      </c>
    </row>
    <row r="500" spans="1:14">
      <c r="A500" s="1488">
        <v>395</v>
      </c>
      <c r="B500" s="1707">
        <v>9</v>
      </c>
      <c r="C500" s="1828" t="s">
        <v>3617</v>
      </c>
      <c r="D500" s="1492" t="s">
        <v>3604</v>
      </c>
      <c r="E500" s="1829" t="s">
        <v>3488</v>
      </c>
      <c r="F500" s="1835">
        <v>600</v>
      </c>
      <c r="G500" s="1836">
        <v>34900</v>
      </c>
      <c r="H500" s="1837">
        <f t="shared" si="37"/>
        <v>20940000</v>
      </c>
      <c r="I500" s="1602">
        <v>600</v>
      </c>
      <c r="J500" s="1838">
        <v>35400</v>
      </c>
      <c r="K500" s="1560">
        <f t="shared" si="38"/>
        <v>21240000</v>
      </c>
      <c r="L500" s="1600">
        <f t="shared" si="36"/>
        <v>500</v>
      </c>
      <c r="M500" s="1839" t="s">
        <v>3608</v>
      </c>
      <c r="N500" s="1834" t="s">
        <v>3606</v>
      </c>
    </row>
    <row r="501" spans="1:14">
      <c r="A501" s="1488">
        <v>396</v>
      </c>
      <c r="B501" s="1707">
        <v>10</v>
      </c>
      <c r="C501" s="1828" t="s">
        <v>3618</v>
      </c>
      <c r="D501" s="1492" t="s">
        <v>3616</v>
      </c>
      <c r="E501" s="1829" t="s">
        <v>3488</v>
      </c>
      <c r="F501" s="1835">
        <v>300</v>
      </c>
      <c r="G501" s="1836">
        <v>72600</v>
      </c>
      <c r="H501" s="1837">
        <f t="shared" si="37"/>
        <v>21780000</v>
      </c>
      <c r="I501" s="1602">
        <v>300</v>
      </c>
      <c r="J501" s="1838">
        <v>73200</v>
      </c>
      <c r="K501" s="1560">
        <f t="shared" si="38"/>
        <v>21960000</v>
      </c>
      <c r="L501" s="1600">
        <f t="shared" si="36"/>
        <v>600</v>
      </c>
      <c r="M501" s="1839" t="s">
        <v>3608</v>
      </c>
      <c r="N501" s="1834" t="s">
        <v>3606</v>
      </c>
    </row>
    <row r="502" spans="1:14">
      <c r="A502" s="1488">
        <v>397</v>
      </c>
      <c r="B502" s="1707">
        <v>11</v>
      </c>
      <c r="C502" s="1828" t="s">
        <v>3619</v>
      </c>
      <c r="D502" s="1492" t="s">
        <v>3620</v>
      </c>
      <c r="E502" s="1829" t="s">
        <v>3488</v>
      </c>
      <c r="F502" s="1835">
        <v>500</v>
      </c>
      <c r="G502" s="1836">
        <v>77500</v>
      </c>
      <c r="H502" s="1837">
        <f t="shared" si="37"/>
        <v>38750000</v>
      </c>
      <c r="I502" s="1602">
        <v>500</v>
      </c>
      <c r="J502" s="1838">
        <v>78000</v>
      </c>
      <c r="K502" s="1560">
        <f t="shared" si="38"/>
        <v>39000000</v>
      </c>
      <c r="L502" s="1600">
        <f t="shared" si="36"/>
        <v>500</v>
      </c>
      <c r="M502" s="1839" t="s">
        <v>3608</v>
      </c>
      <c r="N502" s="1834" t="s">
        <v>3606</v>
      </c>
    </row>
    <row r="503" spans="1:14" ht="18">
      <c r="A503" s="1488">
        <v>398</v>
      </c>
      <c r="B503" s="1707">
        <v>12</v>
      </c>
      <c r="C503" s="1828" t="s">
        <v>3621</v>
      </c>
      <c r="D503" s="1492" t="s">
        <v>3616</v>
      </c>
      <c r="E503" s="1829" t="s">
        <v>3488</v>
      </c>
      <c r="F503" s="1835">
        <v>500</v>
      </c>
      <c r="G503" s="1836">
        <v>118000</v>
      </c>
      <c r="H503" s="1837">
        <f t="shared" si="37"/>
        <v>59000000</v>
      </c>
      <c r="I503" s="1602">
        <v>500</v>
      </c>
      <c r="J503" s="1838">
        <v>120000</v>
      </c>
      <c r="K503" s="1560">
        <f t="shared" si="38"/>
        <v>60000000</v>
      </c>
      <c r="L503" s="1600">
        <f t="shared" si="36"/>
        <v>2000</v>
      </c>
      <c r="M503" s="1839" t="s">
        <v>3608</v>
      </c>
      <c r="N503" s="1834" t="s">
        <v>3606</v>
      </c>
    </row>
    <row r="504" spans="1:14">
      <c r="A504" s="1488">
        <v>399</v>
      </c>
      <c r="B504" s="1707">
        <v>13</v>
      </c>
      <c r="C504" s="1828" t="s">
        <v>3622</v>
      </c>
      <c r="D504" s="1492" t="s">
        <v>3616</v>
      </c>
      <c r="E504" s="1829" t="s">
        <v>3488</v>
      </c>
      <c r="F504" s="1835">
        <v>10000</v>
      </c>
      <c r="G504" s="1836">
        <v>12800</v>
      </c>
      <c r="H504" s="1837">
        <f t="shared" si="37"/>
        <v>128000000</v>
      </c>
      <c r="I504" s="1602">
        <v>10000</v>
      </c>
      <c r="J504" s="1838">
        <v>13000</v>
      </c>
      <c r="K504" s="1560">
        <f t="shared" si="38"/>
        <v>130000000</v>
      </c>
      <c r="L504" s="1600">
        <f t="shared" si="36"/>
        <v>200</v>
      </c>
      <c r="M504" s="1839" t="s">
        <v>3608</v>
      </c>
      <c r="N504" s="1834" t="s">
        <v>3606</v>
      </c>
    </row>
    <row r="505" spans="1:14">
      <c r="A505" s="1488">
        <v>400</v>
      </c>
      <c r="B505" s="1707">
        <v>14</v>
      </c>
      <c r="C505" s="1828" t="s">
        <v>3623</v>
      </c>
      <c r="D505" s="1492" t="s">
        <v>3616</v>
      </c>
      <c r="E505" s="1829" t="s">
        <v>3488</v>
      </c>
      <c r="F505" s="1835">
        <v>5000</v>
      </c>
      <c r="G505" s="1836">
        <v>27200</v>
      </c>
      <c r="H505" s="1837">
        <f t="shared" si="37"/>
        <v>136000000</v>
      </c>
      <c r="I505" s="1602">
        <v>5000</v>
      </c>
      <c r="J505" s="1838">
        <v>27500</v>
      </c>
      <c r="K505" s="1560">
        <f t="shared" si="38"/>
        <v>137500000</v>
      </c>
      <c r="L505" s="1600">
        <f t="shared" si="36"/>
        <v>300</v>
      </c>
      <c r="M505" s="1839" t="s">
        <v>3608</v>
      </c>
      <c r="N505" s="1834" t="s">
        <v>3606</v>
      </c>
    </row>
    <row r="506" spans="1:14">
      <c r="A506" s="1488">
        <v>401</v>
      </c>
      <c r="B506" s="1707">
        <v>15</v>
      </c>
      <c r="C506" s="1828" t="s">
        <v>3624</v>
      </c>
      <c r="D506" s="1492" t="s">
        <v>3616</v>
      </c>
      <c r="E506" s="1829" t="s">
        <v>3488</v>
      </c>
      <c r="F506" s="1835">
        <v>100</v>
      </c>
      <c r="G506" s="1836">
        <v>95800</v>
      </c>
      <c r="H506" s="1837">
        <f t="shared" si="37"/>
        <v>9580000</v>
      </c>
      <c r="I506" s="1602">
        <v>100</v>
      </c>
      <c r="J506" s="1838">
        <v>96300</v>
      </c>
      <c r="K506" s="1560">
        <f t="shared" si="38"/>
        <v>9630000</v>
      </c>
      <c r="L506" s="1600">
        <f t="shared" si="36"/>
        <v>500</v>
      </c>
      <c r="M506" s="1839" t="s">
        <v>3608</v>
      </c>
      <c r="N506" s="1834" t="s">
        <v>3606</v>
      </c>
    </row>
    <row r="507" spans="1:14" ht="18">
      <c r="A507" s="1488">
        <v>402</v>
      </c>
      <c r="B507" s="1707">
        <v>16</v>
      </c>
      <c r="C507" s="1828" t="s">
        <v>3625</v>
      </c>
      <c r="D507" s="1492" t="s">
        <v>3616</v>
      </c>
      <c r="E507" s="1829" t="s">
        <v>3488</v>
      </c>
      <c r="F507" s="1835">
        <v>300</v>
      </c>
      <c r="G507" s="1836">
        <v>68800</v>
      </c>
      <c r="H507" s="1837">
        <f t="shared" si="37"/>
        <v>20640000</v>
      </c>
      <c r="I507" s="1602">
        <v>300</v>
      </c>
      <c r="J507" s="1838">
        <v>69000</v>
      </c>
      <c r="K507" s="1560">
        <f t="shared" si="38"/>
        <v>20700000</v>
      </c>
      <c r="L507" s="1600">
        <f t="shared" si="36"/>
        <v>200</v>
      </c>
      <c r="M507" s="1839" t="s">
        <v>3608</v>
      </c>
      <c r="N507" s="1834" t="s">
        <v>3606</v>
      </c>
    </row>
    <row r="508" spans="1:14">
      <c r="A508" s="1488">
        <v>403</v>
      </c>
      <c r="B508" s="1707">
        <v>17</v>
      </c>
      <c r="C508" s="1840" t="s">
        <v>3626</v>
      </c>
      <c r="D508" s="1492" t="s">
        <v>3627</v>
      </c>
      <c r="E508" s="1829" t="s">
        <v>3488</v>
      </c>
      <c r="F508" s="1835">
        <v>6000</v>
      </c>
      <c r="G508" s="1836">
        <v>44000</v>
      </c>
      <c r="H508" s="1837">
        <f t="shared" si="37"/>
        <v>264000000</v>
      </c>
      <c r="I508" s="1602">
        <v>6000</v>
      </c>
      <c r="J508" s="1838">
        <v>44200</v>
      </c>
      <c r="K508" s="1560">
        <f t="shared" si="38"/>
        <v>265200000</v>
      </c>
      <c r="L508" s="1600">
        <f t="shared" si="36"/>
        <v>200</v>
      </c>
      <c r="M508" s="1839" t="s">
        <v>3628</v>
      </c>
      <c r="N508" s="1834" t="s">
        <v>3606</v>
      </c>
    </row>
    <row r="509" spans="1:14">
      <c r="A509" s="1488">
        <v>404</v>
      </c>
      <c r="B509" s="1707">
        <v>18</v>
      </c>
      <c r="C509" s="1840" t="s">
        <v>3629</v>
      </c>
      <c r="D509" s="1492" t="s">
        <v>3627</v>
      </c>
      <c r="E509" s="1829" t="s">
        <v>3488</v>
      </c>
      <c r="F509" s="1835">
        <v>6000</v>
      </c>
      <c r="G509" s="1836">
        <v>31000</v>
      </c>
      <c r="H509" s="1836">
        <f t="shared" si="37"/>
        <v>186000000</v>
      </c>
      <c r="I509" s="1602">
        <v>6000</v>
      </c>
      <c r="J509" s="1838">
        <v>31200</v>
      </c>
      <c r="K509" s="1560">
        <f t="shared" si="38"/>
        <v>187200000</v>
      </c>
      <c r="L509" s="1600">
        <f t="shared" si="36"/>
        <v>200</v>
      </c>
      <c r="M509" s="1839" t="s">
        <v>3628</v>
      </c>
      <c r="N509" s="1834" t="s">
        <v>3606</v>
      </c>
    </row>
    <row r="510" spans="1:14">
      <c r="A510" s="1488">
        <v>405</v>
      </c>
      <c r="B510" s="1707">
        <v>19</v>
      </c>
      <c r="C510" s="1840" t="s">
        <v>3630</v>
      </c>
      <c r="D510" s="1841" t="s">
        <v>3627</v>
      </c>
      <c r="E510" s="1842" t="s">
        <v>3488</v>
      </c>
      <c r="F510" s="1835">
        <v>6000</v>
      </c>
      <c r="G510" s="1836">
        <v>81600</v>
      </c>
      <c r="H510" s="1836">
        <f t="shared" si="37"/>
        <v>489600000</v>
      </c>
      <c r="I510" s="1602">
        <v>6000</v>
      </c>
      <c r="J510" s="1838">
        <v>82000</v>
      </c>
      <c r="K510" s="1560">
        <f t="shared" si="38"/>
        <v>492000000</v>
      </c>
      <c r="L510" s="1600">
        <f t="shared" si="36"/>
        <v>400</v>
      </c>
      <c r="M510" s="1839" t="s">
        <v>3631</v>
      </c>
      <c r="N510" s="1834" t="s">
        <v>3606</v>
      </c>
    </row>
    <row r="511" spans="1:14">
      <c r="A511" s="1488">
        <v>406</v>
      </c>
      <c r="B511" s="1707">
        <v>20</v>
      </c>
      <c r="C511" s="1828" t="s">
        <v>3632</v>
      </c>
      <c r="D511" s="1492" t="s">
        <v>3616</v>
      </c>
      <c r="E511" s="1842" t="s">
        <v>3488</v>
      </c>
      <c r="F511" s="1835">
        <v>200</v>
      </c>
      <c r="G511" s="1836">
        <v>104500</v>
      </c>
      <c r="H511" s="1836">
        <f t="shared" si="37"/>
        <v>20900000</v>
      </c>
      <c r="I511" s="1602">
        <v>200</v>
      </c>
      <c r="J511" s="1843">
        <v>105000</v>
      </c>
      <c r="K511" s="1560">
        <f t="shared" si="38"/>
        <v>21000000</v>
      </c>
      <c r="L511" s="1600">
        <f t="shared" si="36"/>
        <v>500</v>
      </c>
      <c r="M511" s="1839" t="s">
        <v>3608</v>
      </c>
      <c r="N511" s="1834" t="s">
        <v>3606</v>
      </c>
    </row>
    <row r="512" spans="1:14">
      <c r="A512" s="1488">
        <v>407</v>
      </c>
      <c r="B512" s="1707">
        <v>21</v>
      </c>
      <c r="C512" s="1828" t="s">
        <v>3633</v>
      </c>
      <c r="D512" s="1492" t="s">
        <v>3634</v>
      </c>
      <c r="E512" s="1842" t="s">
        <v>3488</v>
      </c>
      <c r="F512" s="1835">
        <v>200</v>
      </c>
      <c r="G512" s="1836">
        <v>169000</v>
      </c>
      <c r="H512" s="1836">
        <f t="shared" si="37"/>
        <v>33800000</v>
      </c>
      <c r="I512" s="1602">
        <v>200</v>
      </c>
      <c r="J512" s="1843">
        <v>170000</v>
      </c>
      <c r="K512" s="1560">
        <f t="shared" si="38"/>
        <v>34000000</v>
      </c>
      <c r="L512" s="1600">
        <f t="shared" si="36"/>
        <v>1000</v>
      </c>
      <c r="M512" s="1839" t="s">
        <v>3608</v>
      </c>
      <c r="N512" s="1834" t="s">
        <v>3606</v>
      </c>
    </row>
    <row r="513" spans="1:14">
      <c r="A513" s="1488">
        <v>408</v>
      </c>
      <c r="B513" s="1707">
        <v>22</v>
      </c>
      <c r="C513" s="1840" t="s">
        <v>3635</v>
      </c>
      <c r="D513" s="1492" t="s">
        <v>3627</v>
      </c>
      <c r="E513" s="1844" t="s">
        <v>435</v>
      </c>
      <c r="F513" s="1835">
        <v>5</v>
      </c>
      <c r="G513" s="1836">
        <v>6535000</v>
      </c>
      <c r="H513" s="1836">
        <f t="shared" si="37"/>
        <v>32675000</v>
      </c>
      <c r="I513" s="1602">
        <v>5</v>
      </c>
      <c r="J513" s="1843">
        <v>6537000</v>
      </c>
      <c r="K513" s="1560">
        <f t="shared" si="38"/>
        <v>32685000</v>
      </c>
      <c r="L513" s="1600">
        <f t="shared" si="36"/>
        <v>2000</v>
      </c>
      <c r="M513" s="1839" t="s">
        <v>3636</v>
      </c>
      <c r="N513" s="1834" t="s">
        <v>3606</v>
      </c>
    </row>
    <row r="514" spans="1:14">
      <c r="A514" s="1488">
        <v>409</v>
      </c>
      <c r="B514" s="1707">
        <v>23</v>
      </c>
      <c r="C514" s="1845" t="s">
        <v>3637</v>
      </c>
      <c r="D514" s="1492" t="s">
        <v>3638</v>
      </c>
      <c r="E514" s="1844" t="s">
        <v>435</v>
      </c>
      <c r="F514" s="1835">
        <v>5</v>
      </c>
      <c r="G514" s="1836">
        <v>7188000</v>
      </c>
      <c r="H514" s="1836">
        <f t="shared" si="37"/>
        <v>35940000</v>
      </c>
      <c r="I514" s="1602">
        <v>5</v>
      </c>
      <c r="J514" s="1843">
        <v>7191000</v>
      </c>
      <c r="K514" s="1560">
        <f t="shared" si="38"/>
        <v>35955000</v>
      </c>
      <c r="L514" s="1600">
        <f t="shared" si="36"/>
        <v>3000</v>
      </c>
      <c r="M514" s="1839" t="s">
        <v>3636</v>
      </c>
      <c r="N514" s="1834" t="s">
        <v>3606</v>
      </c>
    </row>
    <row r="515" spans="1:14">
      <c r="A515" s="1488">
        <v>410</v>
      </c>
      <c r="B515" s="1707">
        <v>24</v>
      </c>
      <c r="C515" s="1845" t="s">
        <v>3639</v>
      </c>
      <c r="D515" s="1492" t="s">
        <v>3627</v>
      </c>
      <c r="E515" s="1844" t="s">
        <v>435</v>
      </c>
      <c r="F515" s="1835">
        <v>5</v>
      </c>
      <c r="G515" s="1836">
        <v>5821000</v>
      </c>
      <c r="H515" s="1836">
        <f t="shared" si="37"/>
        <v>29105000</v>
      </c>
      <c r="I515" s="1602">
        <v>5</v>
      </c>
      <c r="J515" s="1843">
        <v>5821500</v>
      </c>
      <c r="K515" s="1560">
        <f t="shared" si="38"/>
        <v>29107500</v>
      </c>
      <c r="L515" s="1600">
        <f t="shared" si="36"/>
        <v>500</v>
      </c>
      <c r="M515" s="1839" t="s">
        <v>3636</v>
      </c>
      <c r="N515" s="1834" t="s">
        <v>3606</v>
      </c>
    </row>
    <row r="516" spans="1:14">
      <c r="A516" s="1488">
        <v>411</v>
      </c>
      <c r="B516" s="1707">
        <v>25</v>
      </c>
      <c r="C516" s="1845" t="s">
        <v>3640</v>
      </c>
      <c r="D516" s="1492" t="s">
        <v>3627</v>
      </c>
      <c r="E516" s="1844" t="s">
        <v>435</v>
      </c>
      <c r="F516" s="1835">
        <v>5</v>
      </c>
      <c r="G516" s="1836">
        <v>4248000</v>
      </c>
      <c r="H516" s="1836">
        <f t="shared" si="37"/>
        <v>21240000</v>
      </c>
      <c r="I516" s="1602">
        <v>5</v>
      </c>
      <c r="J516" s="1843">
        <v>4249000</v>
      </c>
      <c r="K516" s="1560">
        <f t="shared" si="38"/>
        <v>21245000</v>
      </c>
      <c r="L516" s="1600">
        <f t="shared" si="36"/>
        <v>1000</v>
      </c>
      <c r="M516" s="1839" t="s">
        <v>3636</v>
      </c>
      <c r="N516" s="1834" t="s">
        <v>3606</v>
      </c>
    </row>
    <row r="517" spans="1:14">
      <c r="A517" s="1488">
        <v>412</v>
      </c>
      <c r="B517" s="1707">
        <v>26</v>
      </c>
      <c r="C517" s="1846" t="s">
        <v>3641</v>
      </c>
      <c r="D517" s="1492" t="s">
        <v>3627</v>
      </c>
      <c r="E517" s="1844" t="s">
        <v>435</v>
      </c>
      <c r="F517" s="1835">
        <v>3</v>
      </c>
      <c r="G517" s="1836">
        <v>7275000</v>
      </c>
      <c r="H517" s="1836">
        <f t="shared" si="37"/>
        <v>21825000</v>
      </c>
      <c r="I517" s="1602">
        <v>3</v>
      </c>
      <c r="J517" s="1843">
        <v>7276000</v>
      </c>
      <c r="K517" s="1560">
        <f t="shared" si="38"/>
        <v>21828000</v>
      </c>
      <c r="L517" s="1600">
        <f t="shared" si="36"/>
        <v>1000</v>
      </c>
      <c r="M517" s="1839" t="s">
        <v>3636</v>
      </c>
      <c r="N517" s="1834" t="s">
        <v>3606</v>
      </c>
    </row>
    <row r="518" spans="1:14">
      <c r="A518" s="1488">
        <v>413</v>
      </c>
      <c r="B518" s="1707">
        <v>27</v>
      </c>
      <c r="C518" s="1846" t="s">
        <v>3642</v>
      </c>
      <c r="D518" s="1492" t="s">
        <v>3627</v>
      </c>
      <c r="E518" s="1844" t="s">
        <v>435</v>
      </c>
      <c r="F518" s="1835">
        <v>3</v>
      </c>
      <c r="G518" s="1836">
        <v>7275000</v>
      </c>
      <c r="H518" s="1836">
        <f t="shared" si="37"/>
        <v>21825000</v>
      </c>
      <c r="I518" s="1602">
        <v>3</v>
      </c>
      <c r="J518" s="1843">
        <v>7276000</v>
      </c>
      <c r="K518" s="1560">
        <f t="shared" si="38"/>
        <v>21828000</v>
      </c>
      <c r="L518" s="1600">
        <f t="shared" si="36"/>
        <v>1000</v>
      </c>
      <c r="M518" s="1839" t="s">
        <v>3636</v>
      </c>
      <c r="N518" s="1834" t="s">
        <v>3606</v>
      </c>
    </row>
    <row r="519" spans="1:14">
      <c r="A519" s="1488">
        <v>414</v>
      </c>
      <c r="B519" s="1707">
        <v>28</v>
      </c>
      <c r="C519" s="1846" t="s">
        <v>3643</v>
      </c>
      <c r="D519" s="1492" t="s">
        <v>3644</v>
      </c>
      <c r="E519" s="1844" t="s">
        <v>3645</v>
      </c>
      <c r="F519" s="1835">
        <v>10</v>
      </c>
      <c r="G519" s="1836">
        <v>3500</v>
      </c>
      <c r="H519" s="1836">
        <f t="shared" si="37"/>
        <v>35000</v>
      </c>
      <c r="I519" s="1602">
        <v>10</v>
      </c>
      <c r="J519" s="1843">
        <v>3500000</v>
      </c>
      <c r="K519" s="1560">
        <f t="shared" si="38"/>
        <v>35000000</v>
      </c>
      <c r="L519" s="1600">
        <f t="shared" si="36"/>
        <v>3496500</v>
      </c>
      <c r="M519" s="1529" t="s">
        <v>3646</v>
      </c>
      <c r="N519" s="1834" t="s">
        <v>3606</v>
      </c>
    </row>
    <row r="520" spans="1:14">
      <c r="A520" s="1488">
        <v>415</v>
      </c>
      <c r="B520" s="1707">
        <v>29</v>
      </c>
      <c r="C520" s="1846" t="s">
        <v>3647</v>
      </c>
      <c r="D520" s="1492" t="s">
        <v>3644</v>
      </c>
      <c r="E520" s="1844" t="s">
        <v>3645</v>
      </c>
      <c r="F520" s="1835">
        <v>10</v>
      </c>
      <c r="G520" s="1836">
        <v>4600</v>
      </c>
      <c r="H520" s="1836">
        <f t="shared" si="37"/>
        <v>46000</v>
      </c>
      <c r="I520" s="1602">
        <v>10</v>
      </c>
      <c r="J520" s="1843">
        <v>4500000</v>
      </c>
      <c r="K520" s="1560">
        <f t="shared" si="38"/>
        <v>45000000</v>
      </c>
      <c r="L520" s="1600">
        <f t="shared" si="36"/>
        <v>4495400</v>
      </c>
      <c r="M520" s="1529" t="s">
        <v>3646</v>
      </c>
      <c r="N520" s="1834" t="s">
        <v>3606</v>
      </c>
    </row>
    <row r="521" spans="1:14">
      <c r="A521" s="1488">
        <v>416</v>
      </c>
      <c r="B521" s="1707">
        <v>30</v>
      </c>
      <c r="C521" s="1846" t="s">
        <v>3648</v>
      </c>
      <c r="D521" s="1492" t="s">
        <v>3627</v>
      </c>
      <c r="E521" s="1844" t="s">
        <v>435</v>
      </c>
      <c r="F521" s="1847">
        <v>5</v>
      </c>
      <c r="G521" s="1848">
        <v>6535000</v>
      </c>
      <c r="H521" s="1848">
        <f t="shared" si="37"/>
        <v>32675000</v>
      </c>
      <c r="I521" s="1819">
        <v>5</v>
      </c>
      <c r="J521" s="1849">
        <v>6537000</v>
      </c>
      <c r="K521" s="1630">
        <f t="shared" si="38"/>
        <v>32685000</v>
      </c>
      <c r="L521" s="1664">
        <f t="shared" si="36"/>
        <v>2000</v>
      </c>
      <c r="M521" s="1850" t="s">
        <v>3636</v>
      </c>
      <c r="N521" s="1851" t="s">
        <v>3606</v>
      </c>
    </row>
    <row r="522" spans="1:14">
      <c r="A522" s="1501"/>
      <c r="B522" s="1852"/>
      <c r="C522" s="1535" t="s">
        <v>958</v>
      </c>
      <c r="D522" s="1853"/>
      <c r="E522" s="1854"/>
      <c r="F522" s="1476"/>
      <c r="G522" s="1855"/>
      <c r="H522" s="1856">
        <f>SUM(H492:H521)</f>
        <v>3841696000</v>
      </c>
      <c r="I522" s="1689"/>
      <c r="J522" s="1857"/>
      <c r="K522" s="1856">
        <f>SUM(K492:K521)</f>
        <v>4005503500</v>
      </c>
      <c r="L522" s="1856"/>
      <c r="M522" s="1510"/>
      <c r="N522" s="1511"/>
    </row>
    <row r="523" spans="1:14">
      <c r="A523" s="1512"/>
      <c r="B523" s="1513"/>
      <c r="C523" s="1514"/>
      <c r="D523" s="1515"/>
      <c r="E523" s="1515"/>
      <c r="F523" s="1589"/>
      <c r="G523" s="1589"/>
      <c r="H523" s="1589"/>
      <c r="I523" s="1858"/>
      <c r="J523" s="1585"/>
      <c r="K523" s="1585"/>
      <c r="L523" s="1585"/>
    </row>
    <row r="524" spans="1:14">
      <c r="A524" s="2196" t="s">
        <v>3649</v>
      </c>
      <c r="B524" s="2196"/>
      <c r="C524" s="2196"/>
      <c r="D524" s="2196"/>
      <c r="E524" s="2196"/>
      <c r="F524" s="2196"/>
      <c r="G524" s="2196"/>
      <c r="H524" s="2196"/>
      <c r="I524" s="2196"/>
      <c r="J524" s="2196"/>
      <c r="K524" s="2196"/>
      <c r="L524" s="1475"/>
    </row>
    <row r="525" spans="1:14">
      <c r="C525" s="1465"/>
    </row>
    <row r="526" spans="1:14" ht="27">
      <c r="A526" s="2197" t="s">
        <v>2901</v>
      </c>
      <c r="B526" s="2199" t="s">
        <v>2902</v>
      </c>
      <c r="C526" s="2201" t="s">
        <v>2607</v>
      </c>
      <c r="D526" s="2203" t="s">
        <v>2608</v>
      </c>
      <c r="E526" s="2199" t="s">
        <v>2609</v>
      </c>
      <c r="F526" s="2205" t="s">
        <v>2903</v>
      </c>
      <c r="G526" s="2206"/>
      <c r="H526" s="2207"/>
      <c r="I526" s="2205" t="s">
        <v>2904</v>
      </c>
      <c r="J526" s="2206"/>
      <c r="K526" s="2207"/>
      <c r="L526" s="1476" t="s">
        <v>2905</v>
      </c>
      <c r="M526" s="2197" t="s">
        <v>2906</v>
      </c>
      <c r="N526" s="2208" t="s">
        <v>2907</v>
      </c>
    </row>
    <row r="527" spans="1:14">
      <c r="A527" s="2198"/>
      <c r="B527" s="2200"/>
      <c r="C527" s="2210"/>
      <c r="D527" s="2204"/>
      <c r="E527" s="2215"/>
      <c r="F527" s="1670" t="s">
        <v>2908</v>
      </c>
      <c r="G527" s="1671" t="s">
        <v>2611</v>
      </c>
      <c r="H527" s="1806" t="s">
        <v>2612</v>
      </c>
      <c r="I527" s="1670" t="s">
        <v>2908</v>
      </c>
      <c r="J527" s="1671" t="s">
        <v>2611</v>
      </c>
      <c r="K527" s="1806" t="s">
        <v>2612</v>
      </c>
      <c r="L527" s="1479"/>
      <c r="M527" s="2198"/>
      <c r="N527" s="2232"/>
    </row>
    <row r="528" spans="1:14">
      <c r="A528" s="1480">
        <v>417</v>
      </c>
      <c r="B528" s="1807">
        <v>1</v>
      </c>
      <c r="C528" s="1673" t="s">
        <v>3650</v>
      </c>
      <c r="D528" s="1520" t="s">
        <v>3651</v>
      </c>
      <c r="E528" s="1523" t="s">
        <v>435</v>
      </c>
      <c r="F528" s="1519">
        <v>8</v>
      </c>
      <c r="G528" s="1519">
        <v>3702600.0000000005</v>
      </c>
      <c r="H528" s="1519">
        <v>29620800.000000004</v>
      </c>
      <c r="I528" s="1519">
        <v>8</v>
      </c>
      <c r="J528" s="1859">
        <v>3802000</v>
      </c>
      <c r="K528" s="1652">
        <f>I528*J528</f>
        <v>30416000</v>
      </c>
      <c r="L528" s="1594">
        <f t="shared" ref="L528:L591" si="39">J528-G528</f>
        <v>99399.999999999534</v>
      </c>
      <c r="M528" s="1592" t="s">
        <v>3652</v>
      </c>
      <c r="N528" s="1592" t="s">
        <v>3653</v>
      </c>
    </row>
    <row r="529" spans="1:14" ht="18">
      <c r="A529" s="1699">
        <v>418</v>
      </c>
      <c r="B529" s="1811">
        <v>2</v>
      </c>
      <c r="C529" s="1487" t="s">
        <v>3654</v>
      </c>
      <c r="D529" s="1529" t="s">
        <v>3655</v>
      </c>
      <c r="E529" s="1529" t="s">
        <v>435</v>
      </c>
      <c r="F529" s="1531">
        <v>8</v>
      </c>
      <c r="G529" s="1531">
        <v>4041400.0000000005</v>
      </c>
      <c r="H529" s="1531">
        <v>32331200.000000004</v>
      </c>
      <c r="I529" s="1531">
        <v>8</v>
      </c>
      <c r="J529" s="1704">
        <v>4149000</v>
      </c>
      <c r="K529" s="1560">
        <f t="shared" ref="K529:K592" si="40">I529*J529</f>
        <v>33192000</v>
      </c>
      <c r="L529" s="1600">
        <f t="shared" si="39"/>
        <v>107599.99999999953</v>
      </c>
      <c r="M529" s="1598" t="s">
        <v>3652</v>
      </c>
      <c r="N529" s="1598" t="s">
        <v>3653</v>
      </c>
    </row>
    <row r="530" spans="1:14">
      <c r="A530" s="1488">
        <v>419</v>
      </c>
      <c r="B530" s="1811">
        <v>3</v>
      </c>
      <c r="C530" s="1487" t="s">
        <v>3656</v>
      </c>
      <c r="D530" s="1526" t="s">
        <v>3657</v>
      </c>
      <c r="E530" s="1529" t="s">
        <v>435</v>
      </c>
      <c r="F530" s="1531">
        <v>8</v>
      </c>
      <c r="G530" s="1531">
        <v>811800</v>
      </c>
      <c r="H530" s="1531">
        <v>6494400</v>
      </c>
      <c r="I530" s="1531">
        <v>8</v>
      </c>
      <c r="J530" s="1704">
        <v>812000</v>
      </c>
      <c r="K530" s="1560">
        <f t="shared" si="40"/>
        <v>6496000</v>
      </c>
      <c r="L530" s="1600">
        <f t="shared" si="39"/>
        <v>200</v>
      </c>
      <c r="M530" s="1598" t="s">
        <v>3652</v>
      </c>
      <c r="N530" s="1598" t="s">
        <v>3653</v>
      </c>
    </row>
    <row r="531" spans="1:14" ht="18">
      <c r="A531" s="1488">
        <v>420</v>
      </c>
      <c r="B531" s="1811">
        <v>4</v>
      </c>
      <c r="C531" s="1487" t="s">
        <v>3658</v>
      </c>
      <c r="D531" s="1529" t="s">
        <v>3659</v>
      </c>
      <c r="E531" s="1529" t="s">
        <v>435</v>
      </c>
      <c r="F531" s="1531">
        <v>10</v>
      </c>
      <c r="G531" s="1531">
        <v>11220000</v>
      </c>
      <c r="H531" s="1531">
        <v>112200000</v>
      </c>
      <c r="I531" s="1531">
        <v>10</v>
      </c>
      <c r="J531" s="1704">
        <v>11550000</v>
      </c>
      <c r="K531" s="1560">
        <f t="shared" si="40"/>
        <v>115500000</v>
      </c>
      <c r="L531" s="1600">
        <f t="shared" si="39"/>
        <v>330000</v>
      </c>
      <c r="M531" s="1598" t="s">
        <v>3660</v>
      </c>
      <c r="N531" s="1598" t="s">
        <v>3653</v>
      </c>
    </row>
    <row r="532" spans="1:14" ht="18">
      <c r="A532" s="1488">
        <v>421</v>
      </c>
      <c r="B532" s="1811">
        <v>5</v>
      </c>
      <c r="C532" s="1487" t="s">
        <v>3661</v>
      </c>
      <c r="D532" s="1529" t="s">
        <v>3659</v>
      </c>
      <c r="E532" s="1529" t="s">
        <v>435</v>
      </c>
      <c r="F532" s="1531">
        <v>10</v>
      </c>
      <c r="G532" s="1531">
        <v>11220000</v>
      </c>
      <c r="H532" s="1531">
        <v>112200000</v>
      </c>
      <c r="I532" s="1531">
        <v>10</v>
      </c>
      <c r="J532" s="1704">
        <v>11550000</v>
      </c>
      <c r="K532" s="1560">
        <f t="shared" si="40"/>
        <v>115500000</v>
      </c>
      <c r="L532" s="1600">
        <f t="shared" si="39"/>
        <v>330000</v>
      </c>
      <c r="M532" s="1598" t="s">
        <v>3660</v>
      </c>
      <c r="N532" s="1598" t="s">
        <v>3653</v>
      </c>
    </row>
    <row r="533" spans="1:14">
      <c r="A533" s="1488">
        <v>422</v>
      </c>
      <c r="B533" s="1811">
        <v>6</v>
      </c>
      <c r="C533" s="1487" t="s">
        <v>3662</v>
      </c>
      <c r="D533" s="1526" t="s">
        <v>3663</v>
      </c>
      <c r="E533" s="1529" t="s">
        <v>435</v>
      </c>
      <c r="F533" s="1531">
        <v>7</v>
      </c>
      <c r="G533" s="1531">
        <v>1774300.0000000002</v>
      </c>
      <c r="H533" s="1531">
        <v>12420100.000000002</v>
      </c>
      <c r="I533" s="1860">
        <v>7</v>
      </c>
      <c r="J533" s="1704">
        <v>1775000</v>
      </c>
      <c r="K533" s="1560">
        <f t="shared" si="40"/>
        <v>12425000</v>
      </c>
      <c r="L533" s="1600">
        <f t="shared" si="39"/>
        <v>699.99999999976717</v>
      </c>
      <c r="M533" s="1598" t="s">
        <v>3664</v>
      </c>
      <c r="N533" s="1598" t="s">
        <v>3653</v>
      </c>
    </row>
    <row r="534" spans="1:14">
      <c r="A534" s="1488">
        <v>423</v>
      </c>
      <c r="B534" s="1811">
        <v>7</v>
      </c>
      <c r="C534" s="1487" t="s">
        <v>3665</v>
      </c>
      <c r="D534" s="1529" t="s">
        <v>3663</v>
      </c>
      <c r="E534" s="1529" t="s">
        <v>435</v>
      </c>
      <c r="F534" s="1531">
        <v>10</v>
      </c>
      <c r="G534" s="1531">
        <v>1908500.0000000002</v>
      </c>
      <c r="H534" s="1531">
        <v>19085000.000000004</v>
      </c>
      <c r="I534" s="1860">
        <v>10</v>
      </c>
      <c r="J534" s="1704">
        <v>1909000</v>
      </c>
      <c r="K534" s="1560">
        <f t="shared" si="40"/>
        <v>19090000</v>
      </c>
      <c r="L534" s="1600">
        <f t="shared" si="39"/>
        <v>499.99999999976717</v>
      </c>
      <c r="M534" s="1598" t="s">
        <v>3664</v>
      </c>
      <c r="N534" s="1598" t="s">
        <v>3653</v>
      </c>
    </row>
    <row r="535" spans="1:14">
      <c r="A535" s="1488">
        <v>424</v>
      </c>
      <c r="B535" s="1811">
        <v>8</v>
      </c>
      <c r="C535" s="1487" t="s">
        <v>3666</v>
      </c>
      <c r="D535" s="1526" t="s">
        <v>3663</v>
      </c>
      <c r="E535" s="1529" t="s">
        <v>435</v>
      </c>
      <c r="F535" s="1531">
        <v>4</v>
      </c>
      <c r="G535" s="1531">
        <v>1912900.0000000002</v>
      </c>
      <c r="H535" s="1531">
        <v>7651600.0000000009</v>
      </c>
      <c r="I535" s="1860">
        <v>4</v>
      </c>
      <c r="J535" s="1704">
        <v>1913000</v>
      </c>
      <c r="K535" s="1560">
        <f t="shared" si="40"/>
        <v>7652000</v>
      </c>
      <c r="L535" s="1600">
        <f t="shared" si="39"/>
        <v>99.999999999767169</v>
      </c>
      <c r="M535" s="1598" t="s">
        <v>3664</v>
      </c>
      <c r="N535" s="1598" t="s">
        <v>3653</v>
      </c>
    </row>
    <row r="536" spans="1:14">
      <c r="A536" s="1488">
        <v>425</v>
      </c>
      <c r="B536" s="1811">
        <v>9</v>
      </c>
      <c r="C536" s="1487" t="s">
        <v>3667</v>
      </c>
      <c r="D536" s="1526" t="s">
        <v>3663</v>
      </c>
      <c r="E536" s="1529" t="s">
        <v>435</v>
      </c>
      <c r="F536" s="1531">
        <v>2</v>
      </c>
      <c r="G536" s="1531">
        <v>1774300</v>
      </c>
      <c r="H536" s="1531">
        <v>3548600</v>
      </c>
      <c r="I536" s="1860">
        <v>2</v>
      </c>
      <c r="J536" s="1704">
        <v>1775000</v>
      </c>
      <c r="K536" s="1560">
        <f t="shared" si="40"/>
        <v>3550000</v>
      </c>
      <c r="L536" s="1600">
        <f t="shared" si="39"/>
        <v>700</v>
      </c>
      <c r="M536" s="1598" t="s">
        <v>3652</v>
      </c>
      <c r="N536" s="1598" t="s">
        <v>3653</v>
      </c>
    </row>
    <row r="537" spans="1:14">
      <c r="A537" s="1488">
        <v>426</v>
      </c>
      <c r="B537" s="1811">
        <v>10</v>
      </c>
      <c r="C537" s="1487" t="s">
        <v>3668</v>
      </c>
      <c r="D537" s="1526" t="s">
        <v>3663</v>
      </c>
      <c r="E537" s="1529" t="s">
        <v>435</v>
      </c>
      <c r="F537" s="1531">
        <v>10</v>
      </c>
      <c r="G537" s="1531">
        <v>1778700.0000000002</v>
      </c>
      <c r="H537" s="1531">
        <v>17787000.000000004</v>
      </c>
      <c r="I537" s="1860">
        <v>10</v>
      </c>
      <c r="J537" s="1704">
        <v>1779000</v>
      </c>
      <c r="K537" s="1560">
        <f t="shared" si="40"/>
        <v>17790000</v>
      </c>
      <c r="L537" s="1600">
        <f t="shared" si="39"/>
        <v>299.99999999976717</v>
      </c>
      <c r="M537" s="1598" t="s">
        <v>3664</v>
      </c>
      <c r="N537" s="1598" t="s">
        <v>3653</v>
      </c>
    </row>
    <row r="538" spans="1:14">
      <c r="A538" s="1488">
        <v>427</v>
      </c>
      <c r="B538" s="1811">
        <v>11</v>
      </c>
      <c r="C538" s="1487" t="s">
        <v>3669</v>
      </c>
      <c r="D538" s="1526" t="s">
        <v>3663</v>
      </c>
      <c r="E538" s="1529" t="s">
        <v>435</v>
      </c>
      <c r="F538" s="1531">
        <v>2</v>
      </c>
      <c r="G538" s="1531">
        <v>2299000</v>
      </c>
      <c r="H538" s="1531">
        <v>4598000</v>
      </c>
      <c r="I538" s="1860">
        <v>2</v>
      </c>
      <c r="J538" s="1704">
        <v>2300000</v>
      </c>
      <c r="K538" s="1560">
        <f t="shared" si="40"/>
        <v>4600000</v>
      </c>
      <c r="L538" s="1600">
        <f t="shared" si="39"/>
        <v>1000</v>
      </c>
      <c r="M538" s="1598" t="s">
        <v>3664</v>
      </c>
      <c r="N538" s="1598" t="s">
        <v>3653</v>
      </c>
    </row>
    <row r="539" spans="1:14">
      <c r="A539" s="1488">
        <v>428</v>
      </c>
      <c r="B539" s="1811">
        <v>12</v>
      </c>
      <c r="C539" s="1487" t="s">
        <v>3670</v>
      </c>
      <c r="D539" s="1529" t="s">
        <v>3663</v>
      </c>
      <c r="E539" s="1529" t="s">
        <v>435</v>
      </c>
      <c r="F539" s="1531">
        <v>2</v>
      </c>
      <c r="G539" s="1531">
        <v>1761100.0000000002</v>
      </c>
      <c r="H539" s="1531">
        <v>3522200.0000000005</v>
      </c>
      <c r="I539" s="1860">
        <v>2</v>
      </c>
      <c r="J539" s="1704">
        <v>1762000</v>
      </c>
      <c r="K539" s="1560">
        <f t="shared" si="40"/>
        <v>3524000</v>
      </c>
      <c r="L539" s="1600">
        <f t="shared" si="39"/>
        <v>899.99999999976717</v>
      </c>
      <c r="M539" s="1598" t="s">
        <v>3664</v>
      </c>
      <c r="N539" s="1598" t="s">
        <v>3653</v>
      </c>
    </row>
    <row r="540" spans="1:14">
      <c r="A540" s="1488">
        <v>429</v>
      </c>
      <c r="B540" s="1811">
        <v>13</v>
      </c>
      <c r="C540" s="1487" t="s">
        <v>3671</v>
      </c>
      <c r="D540" s="1529" t="s">
        <v>3663</v>
      </c>
      <c r="E540" s="1529" t="s">
        <v>435</v>
      </c>
      <c r="F540" s="1531">
        <v>2</v>
      </c>
      <c r="G540" s="1531">
        <v>1709400.0000000002</v>
      </c>
      <c r="H540" s="1531">
        <v>3418800.0000000005</v>
      </c>
      <c r="I540" s="1860">
        <v>2</v>
      </c>
      <c r="J540" s="1704">
        <v>1710000</v>
      </c>
      <c r="K540" s="1560">
        <f t="shared" si="40"/>
        <v>3420000</v>
      </c>
      <c r="L540" s="1600">
        <f t="shared" si="39"/>
        <v>599.99999999976717</v>
      </c>
      <c r="M540" s="1598" t="s">
        <v>3664</v>
      </c>
      <c r="N540" s="1598" t="s">
        <v>3653</v>
      </c>
    </row>
    <row r="541" spans="1:14">
      <c r="A541" s="1488">
        <v>430</v>
      </c>
      <c r="B541" s="1811">
        <v>14</v>
      </c>
      <c r="C541" s="1487" t="s">
        <v>3672</v>
      </c>
      <c r="D541" s="1526" t="s">
        <v>3663</v>
      </c>
      <c r="E541" s="1529" t="s">
        <v>435</v>
      </c>
      <c r="F541" s="1531">
        <v>5</v>
      </c>
      <c r="G541" s="1531">
        <v>2568500</v>
      </c>
      <c r="H541" s="1531">
        <v>12842500</v>
      </c>
      <c r="I541" s="1860">
        <v>5</v>
      </c>
      <c r="J541" s="1704">
        <v>2569000</v>
      </c>
      <c r="K541" s="1560">
        <f t="shared" si="40"/>
        <v>12845000</v>
      </c>
      <c r="L541" s="1600">
        <f t="shared" si="39"/>
        <v>500</v>
      </c>
      <c r="M541" s="1598" t="s">
        <v>3652</v>
      </c>
      <c r="N541" s="1598" t="s">
        <v>3653</v>
      </c>
    </row>
    <row r="542" spans="1:14">
      <c r="A542" s="1488">
        <v>431</v>
      </c>
      <c r="B542" s="1811">
        <v>15</v>
      </c>
      <c r="C542" s="1487" t="s">
        <v>3673</v>
      </c>
      <c r="D542" s="1526" t="s">
        <v>3663</v>
      </c>
      <c r="E542" s="1529" t="s">
        <v>435</v>
      </c>
      <c r="F542" s="1531">
        <v>2</v>
      </c>
      <c r="G542" s="1531">
        <v>2148300</v>
      </c>
      <c r="H542" s="1531">
        <v>4296600</v>
      </c>
      <c r="I542" s="1860">
        <v>2</v>
      </c>
      <c r="J542" s="1704">
        <v>2150000</v>
      </c>
      <c r="K542" s="1560">
        <f t="shared" si="40"/>
        <v>4300000</v>
      </c>
      <c r="L542" s="1600">
        <f t="shared" si="39"/>
        <v>1700</v>
      </c>
      <c r="M542" s="1598" t="s">
        <v>3664</v>
      </c>
      <c r="N542" s="1598" t="s">
        <v>3653</v>
      </c>
    </row>
    <row r="543" spans="1:14">
      <c r="A543" s="1488">
        <v>432</v>
      </c>
      <c r="B543" s="1811">
        <v>16</v>
      </c>
      <c r="C543" s="1487" t="s">
        <v>3674</v>
      </c>
      <c r="D543" s="1526" t="s">
        <v>3675</v>
      </c>
      <c r="E543" s="1529" t="s">
        <v>435</v>
      </c>
      <c r="F543" s="1531">
        <v>5</v>
      </c>
      <c r="G543" s="1531">
        <v>792000</v>
      </c>
      <c r="H543" s="1531">
        <v>3960000</v>
      </c>
      <c r="I543" s="1860">
        <v>5</v>
      </c>
      <c r="J543" s="1704">
        <v>792000</v>
      </c>
      <c r="K543" s="1560">
        <f t="shared" si="40"/>
        <v>3960000</v>
      </c>
      <c r="L543" s="1600">
        <f t="shared" si="39"/>
        <v>0</v>
      </c>
      <c r="M543" s="1598" t="s">
        <v>3652</v>
      </c>
      <c r="N543" s="1598" t="s">
        <v>3653</v>
      </c>
    </row>
    <row r="544" spans="1:14">
      <c r="A544" s="1488">
        <v>433</v>
      </c>
      <c r="B544" s="1811">
        <v>17</v>
      </c>
      <c r="C544" s="1487" t="s">
        <v>3676</v>
      </c>
      <c r="D544" s="1526" t="s">
        <v>3677</v>
      </c>
      <c r="E544" s="1529" t="s">
        <v>435</v>
      </c>
      <c r="F544" s="1531">
        <v>5</v>
      </c>
      <c r="G544" s="1531">
        <v>1248500</v>
      </c>
      <c r="H544" s="1531">
        <v>6242500</v>
      </c>
      <c r="I544" s="1860">
        <v>5</v>
      </c>
      <c r="J544" s="1704">
        <v>1250000</v>
      </c>
      <c r="K544" s="1560">
        <f t="shared" si="40"/>
        <v>6250000</v>
      </c>
      <c r="L544" s="1600">
        <f t="shared" si="39"/>
        <v>1500</v>
      </c>
      <c r="M544" s="1598" t="s">
        <v>3664</v>
      </c>
      <c r="N544" s="1598" t="s">
        <v>3653</v>
      </c>
    </row>
    <row r="545" spans="1:14">
      <c r="A545" s="1488">
        <v>434</v>
      </c>
      <c r="B545" s="1811">
        <v>18</v>
      </c>
      <c r="C545" s="1487" t="s">
        <v>3678</v>
      </c>
      <c r="D545" s="1529" t="s">
        <v>3677</v>
      </c>
      <c r="E545" s="1529" t="s">
        <v>435</v>
      </c>
      <c r="F545" s="1531">
        <v>4</v>
      </c>
      <c r="G545" s="1531">
        <v>1248500</v>
      </c>
      <c r="H545" s="1531">
        <v>4994000</v>
      </c>
      <c r="I545" s="1860">
        <v>4</v>
      </c>
      <c r="J545" s="1704">
        <v>1250000</v>
      </c>
      <c r="K545" s="1560">
        <f t="shared" si="40"/>
        <v>5000000</v>
      </c>
      <c r="L545" s="1600">
        <f t="shared" si="39"/>
        <v>1500</v>
      </c>
      <c r="M545" s="1598" t="s">
        <v>3664</v>
      </c>
      <c r="N545" s="1598" t="s">
        <v>3653</v>
      </c>
    </row>
    <row r="546" spans="1:14">
      <c r="A546" s="1488">
        <v>435</v>
      </c>
      <c r="B546" s="1811">
        <v>19</v>
      </c>
      <c r="C546" s="1487" t="s">
        <v>3679</v>
      </c>
      <c r="D546" s="1529" t="s">
        <v>3677</v>
      </c>
      <c r="E546" s="1529" t="s">
        <v>435</v>
      </c>
      <c r="F546" s="1531">
        <v>4</v>
      </c>
      <c r="G546" s="1531">
        <v>1248500</v>
      </c>
      <c r="H546" s="1531">
        <v>4994000</v>
      </c>
      <c r="I546" s="1860">
        <v>4</v>
      </c>
      <c r="J546" s="1704">
        <v>1250000</v>
      </c>
      <c r="K546" s="1560">
        <f t="shared" si="40"/>
        <v>5000000</v>
      </c>
      <c r="L546" s="1600">
        <f t="shared" si="39"/>
        <v>1500</v>
      </c>
      <c r="M546" s="1598" t="s">
        <v>3664</v>
      </c>
      <c r="N546" s="1598" t="s">
        <v>3653</v>
      </c>
    </row>
    <row r="547" spans="1:14">
      <c r="A547" s="1488">
        <v>436</v>
      </c>
      <c r="B547" s="1811">
        <v>20</v>
      </c>
      <c r="C547" s="1487" t="s">
        <v>3680</v>
      </c>
      <c r="D547" s="1529" t="s">
        <v>3677</v>
      </c>
      <c r="E547" s="1529" t="s">
        <v>435</v>
      </c>
      <c r="F547" s="1531">
        <v>5</v>
      </c>
      <c r="G547" s="1531">
        <v>1248500</v>
      </c>
      <c r="H547" s="1531">
        <v>6242500</v>
      </c>
      <c r="I547" s="1860">
        <v>5</v>
      </c>
      <c r="J547" s="1704">
        <v>1250000</v>
      </c>
      <c r="K547" s="1560">
        <f t="shared" si="40"/>
        <v>6250000</v>
      </c>
      <c r="L547" s="1600">
        <f t="shared" si="39"/>
        <v>1500</v>
      </c>
      <c r="M547" s="1598" t="s">
        <v>3664</v>
      </c>
      <c r="N547" s="1598" t="s">
        <v>3653</v>
      </c>
    </row>
    <row r="548" spans="1:14">
      <c r="A548" s="1488">
        <v>437</v>
      </c>
      <c r="B548" s="1811">
        <v>21</v>
      </c>
      <c r="C548" s="1487" t="s">
        <v>3681</v>
      </c>
      <c r="D548" s="1529" t="s">
        <v>3677</v>
      </c>
      <c r="E548" s="1529" t="s">
        <v>435</v>
      </c>
      <c r="F548" s="1531">
        <v>2</v>
      </c>
      <c r="G548" s="1531">
        <v>1248500</v>
      </c>
      <c r="H548" s="1531">
        <v>2497000</v>
      </c>
      <c r="I548" s="1860">
        <v>2</v>
      </c>
      <c r="J548" s="1704">
        <v>1250000</v>
      </c>
      <c r="K548" s="1560">
        <f t="shared" si="40"/>
        <v>2500000</v>
      </c>
      <c r="L548" s="1600">
        <f t="shared" si="39"/>
        <v>1500</v>
      </c>
      <c r="M548" s="1598" t="s">
        <v>3664</v>
      </c>
      <c r="N548" s="1598" t="s">
        <v>3653</v>
      </c>
    </row>
    <row r="549" spans="1:14">
      <c r="A549" s="1488">
        <v>438</v>
      </c>
      <c r="B549" s="1811">
        <v>22</v>
      </c>
      <c r="C549" s="1487" t="s">
        <v>3682</v>
      </c>
      <c r="D549" s="1529" t="s">
        <v>3683</v>
      </c>
      <c r="E549" s="1529" t="s">
        <v>435</v>
      </c>
      <c r="F549" s="1531">
        <v>12</v>
      </c>
      <c r="G549" s="1531">
        <v>512600.00000000006</v>
      </c>
      <c r="H549" s="1531">
        <v>6151200.0000000009</v>
      </c>
      <c r="I549" s="1860">
        <v>12</v>
      </c>
      <c r="J549" s="1704">
        <v>513000</v>
      </c>
      <c r="K549" s="1560">
        <f t="shared" si="40"/>
        <v>6156000</v>
      </c>
      <c r="L549" s="1600">
        <f t="shared" si="39"/>
        <v>399.99999999994179</v>
      </c>
      <c r="M549" s="1598" t="s">
        <v>3664</v>
      </c>
      <c r="N549" s="1598" t="s">
        <v>3653</v>
      </c>
    </row>
    <row r="550" spans="1:14">
      <c r="A550" s="1488">
        <v>439</v>
      </c>
      <c r="B550" s="1811">
        <v>23</v>
      </c>
      <c r="C550" s="1487" t="s">
        <v>3684</v>
      </c>
      <c r="D550" s="1529" t="s">
        <v>3683</v>
      </c>
      <c r="E550" s="1529" t="s">
        <v>435</v>
      </c>
      <c r="F550" s="1531">
        <v>12</v>
      </c>
      <c r="G550" s="1531">
        <v>512600.00000000006</v>
      </c>
      <c r="H550" s="1531">
        <v>6151200.0000000009</v>
      </c>
      <c r="I550" s="1860">
        <v>12</v>
      </c>
      <c r="J550" s="1704">
        <v>513000</v>
      </c>
      <c r="K550" s="1560">
        <f t="shared" si="40"/>
        <v>6156000</v>
      </c>
      <c r="L550" s="1600">
        <f t="shared" si="39"/>
        <v>399.99999999994179</v>
      </c>
      <c r="M550" s="1598" t="s">
        <v>3664</v>
      </c>
      <c r="N550" s="1598" t="s">
        <v>3653</v>
      </c>
    </row>
    <row r="551" spans="1:14">
      <c r="A551" s="1488">
        <v>440</v>
      </c>
      <c r="B551" s="1811">
        <v>24</v>
      </c>
      <c r="C551" s="1487" t="s">
        <v>3685</v>
      </c>
      <c r="D551" s="1529" t="s">
        <v>3683</v>
      </c>
      <c r="E551" s="1529" t="s">
        <v>435</v>
      </c>
      <c r="F551" s="1531">
        <v>12</v>
      </c>
      <c r="G551" s="1531">
        <v>512600.00000000006</v>
      </c>
      <c r="H551" s="1531">
        <v>6151200.0000000009</v>
      </c>
      <c r="I551" s="1860">
        <v>12</v>
      </c>
      <c r="J551" s="1704">
        <v>513000</v>
      </c>
      <c r="K551" s="1560">
        <f t="shared" si="40"/>
        <v>6156000</v>
      </c>
      <c r="L551" s="1600">
        <f t="shared" si="39"/>
        <v>399.99999999994179</v>
      </c>
      <c r="M551" s="1598" t="s">
        <v>3664</v>
      </c>
      <c r="N551" s="1598" t="s">
        <v>3653</v>
      </c>
    </row>
    <row r="552" spans="1:14">
      <c r="A552" s="1488">
        <v>441</v>
      </c>
      <c r="B552" s="1811">
        <v>25</v>
      </c>
      <c r="C552" s="1487" t="s">
        <v>3686</v>
      </c>
      <c r="D552" s="1529" t="s">
        <v>3683</v>
      </c>
      <c r="E552" s="1529" t="s">
        <v>435</v>
      </c>
      <c r="F552" s="1531">
        <v>12</v>
      </c>
      <c r="G552" s="1531">
        <v>512600.00000000006</v>
      </c>
      <c r="H552" s="1531">
        <v>6151200.0000000009</v>
      </c>
      <c r="I552" s="1860">
        <v>12</v>
      </c>
      <c r="J552" s="1704">
        <v>513000</v>
      </c>
      <c r="K552" s="1560">
        <f t="shared" si="40"/>
        <v>6156000</v>
      </c>
      <c r="L552" s="1600">
        <f t="shared" si="39"/>
        <v>399.99999999994179</v>
      </c>
      <c r="M552" s="1598" t="s">
        <v>3664</v>
      </c>
      <c r="N552" s="1598" t="s">
        <v>3653</v>
      </c>
    </row>
    <row r="553" spans="1:14">
      <c r="A553" s="1488">
        <v>442</v>
      </c>
      <c r="B553" s="1811">
        <v>26</v>
      </c>
      <c r="C553" s="1487" t="s">
        <v>3687</v>
      </c>
      <c r="D553" s="1529" t="s">
        <v>3683</v>
      </c>
      <c r="E553" s="1529" t="s">
        <v>435</v>
      </c>
      <c r="F553" s="1531">
        <v>12</v>
      </c>
      <c r="G553" s="1531">
        <v>512600.00000000006</v>
      </c>
      <c r="H553" s="1531">
        <v>6151200.0000000009</v>
      </c>
      <c r="I553" s="1860">
        <v>12</v>
      </c>
      <c r="J553" s="1704">
        <v>513000</v>
      </c>
      <c r="K553" s="1560">
        <f t="shared" si="40"/>
        <v>6156000</v>
      </c>
      <c r="L553" s="1600">
        <f t="shared" si="39"/>
        <v>399.99999999994179</v>
      </c>
      <c r="M553" s="1598" t="s">
        <v>3664</v>
      </c>
      <c r="N553" s="1598" t="s">
        <v>3653</v>
      </c>
    </row>
    <row r="554" spans="1:14">
      <c r="A554" s="1488">
        <v>443</v>
      </c>
      <c r="B554" s="1811">
        <v>27</v>
      </c>
      <c r="C554" s="1487" t="s">
        <v>3688</v>
      </c>
      <c r="D554" s="1529" t="s">
        <v>3683</v>
      </c>
      <c r="E554" s="1529" t="s">
        <v>435</v>
      </c>
      <c r="F554" s="1531">
        <v>12</v>
      </c>
      <c r="G554" s="1531">
        <v>512600.00000000006</v>
      </c>
      <c r="H554" s="1531">
        <v>6151200.0000000009</v>
      </c>
      <c r="I554" s="1860">
        <v>12</v>
      </c>
      <c r="J554" s="1704">
        <v>513000</v>
      </c>
      <c r="K554" s="1560">
        <f t="shared" si="40"/>
        <v>6156000</v>
      </c>
      <c r="L554" s="1600">
        <f t="shared" si="39"/>
        <v>399.99999999994179</v>
      </c>
      <c r="M554" s="1598" t="s">
        <v>3664</v>
      </c>
      <c r="N554" s="1598" t="s">
        <v>3653</v>
      </c>
    </row>
    <row r="555" spans="1:14">
      <c r="A555" s="1488">
        <v>444</v>
      </c>
      <c r="B555" s="1811">
        <v>28</v>
      </c>
      <c r="C555" s="1487" t="s">
        <v>3689</v>
      </c>
      <c r="D555" s="1529" t="s">
        <v>3683</v>
      </c>
      <c r="E555" s="1529" t="s">
        <v>435</v>
      </c>
      <c r="F555" s="1531">
        <v>12</v>
      </c>
      <c r="G555" s="1531">
        <v>512600.00000000006</v>
      </c>
      <c r="H555" s="1531">
        <v>6151200.0000000009</v>
      </c>
      <c r="I555" s="1860">
        <v>12</v>
      </c>
      <c r="J555" s="1704">
        <v>513000</v>
      </c>
      <c r="K555" s="1560">
        <f t="shared" si="40"/>
        <v>6156000</v>
      </c>
      <c r="L555" s="1600">
        <f t="shared" si="39"/>
        <v>399.99999999994179</v>
      </c>
      <c r="M555" s="1598" t="s">
        <v>3664</v>
      </c>
      <c r="N555" s="1598" t="s">
        <v>3653</v>
      </c>
    </row>
    <row r="556" spans="1:14">
      <c r="A556" s="1488">
        <v>445</v>
      </c>
      <c r="B556" s="1811">
        <v>29</v>
      </c>
      <c r="C556" s="1487" t="s">
        <v>3690</v>
      </c>
      <c r="D556" s="1529" t="s">
        <v>3683</v>
      </c>
      <c r="E556" s="1529" t="s">
        <v>435</v>
      </c>
      <c r="F556" s="1531">
        <v>12</v>
      </c>
      <c r="G556" s="1531">
        <v>512600.00000000006</v>
      </c>
      <c r="H556" s="1531">
        <v>6151200.0000000009</v>
      </c>
      <c r="I556" s="1860">
        <v>12</v>
      </c>
      <c r="J556" s="1704">
        <v>513000</v>
      </c>
      <c r="K556" s="1560">
        <f t="shared" si="40"/>
        <v>6156000</v>
      </c>
      <c r="L556" s="1600">
        <f t="shared" si="39"/>
        <v>399.99999999994179</v>
      </c>
      <c r="M556" s="1598" t="s">
        <v>3664</v>
      </c>
      <c r="N556" s="1598" t="s">
        <v>3653</v>
      </c>
    </row>
    <row r="557" spans="1:14">
      <c r="A557" s="1488">
        <v>446</v>
      </c>
      <c r="B557" s="1811">
        <v>30</v>
      </c>
      <c r="C557" s="1487" t="s">
        <v>3691</v>
      </c>
      <c r="D557" s="1529" t="s">
        <v>3683</v>
      </c>
      <c r="E557" s="1529" t="s">
        <v>435</v>
      </c>
      <c r="F557" s="1531">
        <v>12</v>
      </c>
      <c r="G557" s="1531">
        <v>512600.00000000006</v>
      </c>
      <c r="H557" s="1531">
        <v>6151200.0000000009</v>
      </c>
      <c r="I557" s="1860">
        <v>12</v>
      </c>
      <c r="J557" s="1704">
        <v>513000</v>
      </c>
      <c r="K557" s="1560">
        <f t="shared" si="40"/>
        <v>6156000</v>
      </c>
      <c r="L557" s="1600">
        <f t="shared" si="39"/>
        <v>399.99999999994179</v>
      </c>
      <c r="M557" s="1598" t="s">
        <v>3664</v>
      </c>
      <c r="N557" s="1598" t="s">
        <v>3653</v>
      </c>
    </row>
    <row r="558" spans="1:14">
      <c r="A558" s="1488">
        <v>447</v>
      </c>
      <c r="B558" s="1811">
        <v>31</v>
      </c>
      <c r="C558" s="1487" t="s">
        <v>3692</v>
      </c>
      <c r="D558" s="1529" t="s">
        <v>3683</v>
      </c>
      <c r="E558" s="1529" t="s">
        <v>435</v>
      </c>
      <c r="F558" s="1531">
        <v>12</v>
      </c>
      <c r="G558" s="1531">
        <v>512600.00000000006</v>
      </c>
      <c r="H558" s="1531">
        <v>6151200.0000000009</v>
      </c>
      <c r="I558" s="1860">
        <v>12</v>
      </c>
      <c r="J558" s="1704">
        <v>513000</v>
      </c>
      <c r="K558" s="1560">
        <f t="shared" si="40"/>
        <v>6156000</v>
      </c>
      <c r="L558" s="1600">
        <f t="shared" si="39"/>
        <v>399.99999999994179</v>
      </c>
      <c r="M558" s="1598" t="s">
        <v>3664</v>
      </c>
      <c r="N558" s="1598" t="s">
        <v>3653</v>
      </c>
    </row>
    <row r="559" spans="1:14">
      <c r="A559" s="1488">
        <v>448</v>
      </c>
      <c r="B559" s="1811">
        <v>32</v>
      </c>
      <c r="C559" s="1487" t="s">
        <v>3693</v>
      </c>
      <c r="D559" s="1529" t="s">
        <v>3683</v>
      </c>
      <c r="E559" s="1529" t="s">
        <v>435</v>
      </c>
      <c r="F559" s="1531">
        <v>12</v>
      </c>
      <c r="G559" s="1531">
        <v>512600.00000000006</v>
      </c>
      <c r="H559" s="1531">
        <v>6151200.0000000009</v>
      </c>
      <c r="I559" s="1860">
        <v>12</v>
      </c>
      <c r="J559" s="1704">
        <v>513000</v>
      </c>
      <c r="K559" s="1560">
        <f t="shared" si="40"/>
        <v>6156000</v>
      </c>
      <c r="L559" s="1600">
        <f t="shared" si="39"/>
        <v>399.99999999994179</v>
      </c>
      <c r="M559" s="1598" t="s">
        <v>3664</v>
      </c>
      <c r="N559" s="1598" t="s">
        <v>3653</v>
      </c>
    </row>
    <row r="560" spans="1:14">
      <c r="A560" s="1488">
        <v>449</v>
      </c>
      <c r="B560" s="1811">
        <v>33</v>
      </c>
      <c r="C560" s="1487" t="s">
        <v>3694</v>
      </c>
      <c r="D560" s="1529" t="s">
        <v>3683</v>
      </c>
      <c r="E560" s="1529" t="s">
        <v>435</v>
      </c>
      <c r="F560" s="1531">
        <v>12</v>
      </c>
      <c r="G560" s="1531">
        <v>512600.00000000006</v>
      </c>
      <c r="H560" s="1531">
        <v>6151200.0000000009</v>
      </c>
      <c r="I560" s="1860">
        <v>12</v>
      </c>
      <c r="J560" s="1704">
        <v>513000</v>
      </c>
      <c r="K560" s="1560">
        <f t="shared" si="40"/>
        <v>6156000</v>
      </c>
      <c r="L560" s="1600">
        <f t="shared" si="39"/>
        <v>399.99999999994179</v>
      </c>
      <c r="M560" s="1598" t="s">
        <v>3664</v>
      </c>
      <c r="N560" s="1598" t="s">
        <v>3653</v>
      </c>
    </row>
    <row r="561" spans="1:14">
      <c r="A561" s="1488">
        <v>450</v>
      </c>
      <c r="B561" s="1811">
        <v>34</v>
      </c>
      <c r="C561" s="1487" t="s">
        <v>3695</v>
      </c>
      <c r="D561" s="1529" t="s">
        <v>3683</v>
      </c>
      <c r="E561" s="1529" t="s">
        <v>435</v>
      </c>
      <c r="F561" s="1531">
        <v>12</v>
      </c>
      <c r="G561" s="1531">
        <v>512600.00000000006</v>
      </c>
      <c r="H561" s="1531">
        <v>6151200.0000000009</v>
      </c>
      <c r="I561" s="1860">
        <v>12</v>
      </c>
      <c r="J561" s="1704">
        <v>513000</v>
      </c>
      <c r="K561" s="1560">
        <f t="shared" si="40"/>
        <v>6156000</v>
      </c>
      <c r="L561" s="1600">
        <f t="shared" si="39"/>
        <v>399.99999999994179</v>
      </c>
      <c r="M561" s="1598" t="s">
        <v>3664</v>
      </c>
      <c r="N561" s="1598" t="s">
        <v>3653</v>
      </c>
    </row>
    <row r="562" spans="1:14">
      <c r="A562" s="1488">
        <v>451</v>
      </c>
      <c r="B562" s="1811">
        <v>35</v>
      </c>
      <c r="C562" s="1487" t="s">
        <v>3696</v>
      </c>
      <c r="D562" s="1529" t="s">
        <v>3683</v>
      </c>
      <c r="E562" s="1529" t="s">
        <v>435</v>
      </c>
      <c r="F562" s="1531">
        <v>12</v>
      </c>
      <c r="G562" s="1531">
        <v>512600.00000000006</v>
      </c>
      <c r="H562" s="1531">
        <v>6151200.0000000009</v>
      </c>
      <c r="I562" s="1860">
        <v>12</v>
      </c>
      <c r="J562" s="1704">
        <v>513000</v>
      </c>
      <c r="K562" s="1560">
        <f t="shared" si="40"/>
        <v>6156000</v>
      </c>
      <c r="L562" s="1600">
        <f t="shared" si="39"/>
        <v>399.99999999994179</v>
      </c>
      <c r="M562" s="1598" t="s">
        <v>3664</v>
      </c>
      <c r="N562" s="1598" t="s">
        <v>3653</v>
      </c>
    </row>
    <row r="563" spans="1:14">
      <c r="A563" s="1488">
        <v>452</v>
      </c>
      <c r="B563" s="1811">
        <v>36</v>
      </c>
      <c r="C563" s="1487" t="s">
        <v>3697</v>
      </c>
      <c r="D563" s="1529" t="s">
        <v>3683</v>
      </c>
      <c r="E563" s="1529" t="s">
        <v>435</v>
      </c>
      <c r="F563" s="1531">
        <v>12</v>
      </c>
      <c r="G563" s="1531">
        <v>512600.00000000006</v>
      </c>
      <c r="H563" s="1531">
        <v>6151200.0000000009</v>
      </c>
      <c r="I563" s="1860">
        <v>12</v>
      </c>
      <c r="J563" s="1704">
        <v>513000</v>
      </c>
      <c r="K563" s="1560">
        <f t="shared" si="40"/>
        <v>6156000</v>
      </c>
      <c r="L563" s="1600">
        <f t="shared" si="39"/>
        <v>399.99999999994179</v>
      </c>
      <c r="M563" s="1598" t="s">
        <v>3664</v>
      </c>
      <c r="N563" s="1598" t="s">
        <v>3653</v>
      </c>
    </row>
    <row r="564" spans="1:14">
      <c r="A564" s="1488">
        <v>453</v>
      </c>
      <c r="B564" s="1811">
        <v>37</v>
      </c>
      <c r="C564" s="1487" t="s">
        <v>3698</v>
      </c>
      <c r="D564" s="1529" t="s">
        <v>3683</v>
      </c>
      <c r="E564" s="1529" t="s">
        <v>435</v>
      </c>
      <c r="F564" s="1531">
        <v>12</v>
      </c>
      <c r="G564" s="1531">
        <v>512600.00000000006</v>
      </c>
      <c r="H564" s="1531">
        <v>6151200.0000000009</v>
      </c>
      <c r="I564" s="1860">
        <v>12</v>
      </c>
      <c r="J564" s="1704">
        <v>513000</v>
      </c>
      <c r="K564" s="1560">
        <f t="shared" si="40"/>
        <v>6156000</v>
      </c>
      <c r="L564" s="1600">
        <f t="shared" si="39"/>
        <v>399.99999999994179</v>
      </c>
      <c r="M564" s="1598" t="s">
        <v>3664</v>
      </c>
      <c r="N564" s="1598" t="s">
        <v>3653</v>
      </c>
    </row>
    <row r="565" spans="1:14">
      <c r="A565" s="1488">
        <v>454</v>
      </c>
      <c r="B565" s="1811">
        <v>38</v>
      </c>
      <c r="C565" s="1487" t="s">
        <v>3699</v>
      </c>
      <c r="D565" s="1529" t="s">
        <v>3683</v>
      </c>
      <c r="E565" s="1529" t="s">
        <v>435</v>
      </c>
      <c r="F565" s="1531">
        <v>12</v>
      </c>
      <c r="G565" s="1531">
        <v>512600.00000000006</v>
      </c>
      <c r="H565" s="1531">
        <v>6151200.0000000009</v>
      </c>
      <c r="I565" s="1860">
        <v>12</v>
      </c>
      <c r="J565" s="1704">
        <v>513000</v>
      </c>
      <c r="K565" s="1560">
        <f t="shared" si="40"/>
        <v>6156000</v>
      </c>
      <c r="L565" s="1600">
        <f t="shared" si="39"/>
        <v>399.99999999994179</v>
      </c>
      <c r="M565" s="1598" t="s">
        <v>3664</v>
      </c>
      <c r="N565" s="1598" t="s">
        <v>3653</v>
      </c>
    </row>
    <row r="566" spans="1:14">
      <c r="A566" s="1488">
        <v>455</v>
      </c>
      <c r="B566" s="1811">
        <v>39</v>
      </c>
      <c r="C566" s="1487" t="s">
        <v>3700</v>
      </c>
      <c r="D566" s="1529" t="s">
        <v>3683</v>
      </c>
      <c r="E566" s="1529" t="s">
        <v>435</v>
      </c>
      <c r="F566" s="1531">
        <v>12</v>
      </c>
      <c r="G566" s="1531">
        <v>512600.00000000006</v>
      </c>
      <c r="H566" s="1531">
        <v>6151200.0000000009</v>
      </c>
      <c r="I566" s="1860">
        <v>12</v>
      </c>
      <c r="J566" s="1704">
        <v>513000</v>
      </c>
      <c r="K566" s="1560">
        <f t="shared" si="40"/>
        <v>6156000</v>
      </c>
      <c r="L566" s="1600">
        <f t="shared" si="39"/>
        <v>399.99999999994179</v>
      </c>
      <c r="M566" s="1598" t="s">
        <v>3664</v>
      </c>
      <c r="N566" s="1598" t="s">
        <v>3653</v>
      </c>
    </row>
    <row r="567" spans="1:14">
      <c r="A567" s="1488">
        <v>456</v>
      </c>
      <c r="B567" s="1811">
        <v>40</v>
      </c>
      <c r="C567" s="1487" t="s">
        <v>3701</v>
      </c>
      <c r="D567" s="1529" t="s">
        <v>3683</v>
      </c>
      <c r="E567" s="1529" t="s">
        <v>435</v>
      </c>
      <c r="F567" s="1531">
        <v>12</v>
      </c>
      <c r="G567" s="1531">
        <v>512600.00000000006</v>
      </c>
      <c r="H567" s="1531">
        <v>6151200.0000000009</v>
      </c>
      <c r="I567" s="1860">
        <v>12</v>
      </c>
      <c r="J567" s="1704">
        <v>513000</v>
      </c>
      <c r="K567" s="1560">
        <f t="shared" si="40"/>
        <v>6156000</v>
      </c>
      <c r="L567" s="1600">
        <f t="shared" si="39"/>
        <v>399.99999999994179</v>
      </c>
      <c r="M567" s="1598" t="s">
        <v>3664</v>
      </c>
      <c r="N567" s="1598" t="s">
        <v>3653</v>
      </c>
    </row>
    <row r="568" spans="1:14">
      <c r="A568" s="1488">
        <v>457</v>
      </c>
      <c r="B568" s="1811">
        <v>41</v>
      </c>
      <c r="C568" s="1487" t="s">
        <v>3702</v>
      </c>
      <c r="D568" s="1529" t="s">
        <v>3683</v>
      </c>
      <c r="E568" s="1529" t="s">
        <v>435</v>
      </c>
      <c r="F568" s="1531">
        <v>12</v>
      </c>
      <c r="G568" s="1531">
        <v>512600.00000000006</v>
      </c>
      <c r="H568" s="1531">
        <v>6151200.0000000009</v>
      </c>
      <c r="I568" s="1860">
        <v>12</v>
      </c>
      <c r="J568" s="1704">
        <v>513000</v>
      </c>
      <c r="K568" s="1560">
        <f t="shared" si="40"/>
        <v>6156000</v>
      </c>
      <c r="L568" s="1600">
        <f t="shared" si="39"/>
        <v>399.99999999994179</v>
      </c>
      <c r="M568" s="1598" t="s">
        <v>3664</v>
      </c>
      <c r="N568" s="1598" t="s">
        <v>3653</v>
      </c>
    </row>
    <row r="569" spans="1:14">
      <c r="A569" s="1488">
        <v>458</v>
      </c>
      <c r="B569" s="1811">
        <v>42</v>
      </c>
      <c r="C569" s="1487" t="s">
        <v>3703</v>
      </c>
      <c r="D569" s="1529" t="s">
        <v>3683</v>
      </c>
      <c r="E569" s="1529" t="s">
        <v>435</v>
      </c>
      <c r="F569" s="1531">
        <v>12</v>
      </c>
      <c r="G569" s="1531">
        <v>512600.00000000006</v>
      </c>
      <c r="H569" s="1531">
        <v>6151200.0000000009</v>
      </c>
      <c r="I569" s="1860">
        <v>12</v>
      </c>
      <c r="J569" s="1704">
        <v>513000</v>
      </c>
      <c r="K569" s="1560">
        <f t="shared" si="40"/>
        <v>6156000</v>
      </c>
      <c r="L569" s="1600">
        <f t="shared" si="39"/>
        <v>399.99999999994179</v>
      </c>
      <c r="M569" s="1598" t="s">
        <v>3664</v>
      </c>
      <c r="N569" s="1598" t="s">
        <v>3653</v>
      </c>
    </row>
    <row r="570" spans="1:14">
      <c r="A570" s="1488">
        <v>459</v>
      </c>
      <c r="B570" s="1811">
        <v>43</v>
      </c>
      <c r="C570" s="1487" t="s">
        <v>3704</v>
      </c>
      <c r="D570" s="1529" t="s">
        <v>3683</v>
      </c>
      <c r="E570" s="1529" t="s">
        <v>435</v>
      </c>
      <c r="F570" s="1531">
        <v>12</v>
      </c>
      <c r="G570" s="1531">
        <v>512600.00000000006</v>
      </c>
      <c r="H570" s="1531">
        <v>6151200.0000000009</v>
      </c>
      <c r="I570" s="1860">
        <v>12</v>
      </c>
      <c r="J570" s="1704">
        <v>513000</v>
      </c>
      <c r="K570" s="1560">
        <f t="shared" si="40"/>
        <v>6156000</v>
      </c>
      <c r="L570" s="1600">
        <f t="shared" si="39"/>
        <v>399.99999999994179</v>
      </c>
      <c r="M570" s="1598" t="s">
        <v>3664</v>
      </c>
      <c r="N570" s="1598" t="s">
        <v>3653</v>
      </c>
    </row>
    <row r="571" spans="1:14">
      <c r="A571" s="1488">
        <v>460</v>
      </c>
      <c r="B571" s="1811">
        <v>44</v>
      </c>
      <c r="C571" s="1487" t="s">
        <v>3705</v>
      </c>
      <c r="D571" s="1529" t="s">
        <v>3683</v>
      </c>
      <c r="E571" s="1529" t="s">
        <v>435</v>
      </c>
      <c r="F571" s="1531">
        <v>12</v>
      </c>
      <c r="G571" s="1531">
        <v>512600.00000000006</v>
      </c>
      <c r="H571" s="1531">
        <v>6151200.0000000009</v>
      </c>
      <c r="I571" s="1860">
        <v>12</v>
      </c>
      <c r="J571" s="1704">
        <v>513000</v>
      </c>
      <c r="K571" s="1560">
        <f t="shared" si="40"/>
        <v>6156000</v>
      </c>
      <c r="L571" s="1600">
        <f t="shared" si="39"/>
        <v>399.99999999994179</v>
      </c>
      <c r="M571" s="1598" t="s">
        <v>3664</v>
      </c>
      <c r="N571" s="1598" t="s">
        <v>3653</v>
      </c>
    </row>
    <row r="572" spans="1:14">
      <c r="A572" s="1488">
        <v>461</v>
      </c>
      <c r="B572" s="1811">
        <v>45</v>
      </c>
      <c r="C572" s="1487" t="s">
        <v>3706</v>
      </c>
      <c r="D572" s="1529" t="s">
        <v>3683</v>
      </c>
      <c r="E572" s="1529" t="s">
        <v>435</v>
      </c>
      <c r="F572" s="1531">
        <v>12</v>
      </c>
      <c r="G572" s="1531">
        <v>512600.00000000006</v>
      </c>
      <c r="H572" s="1531">
        <v>6151200.0000000009</v>
      </c>
      <c r="I572" s="1860">
        <v>12</v>
      </c>
      <c r="J572" s="1704">
        <v>513000</v>
      </c>
      <c r="K572" s="1560">
        <f t="shared" si="40"/>
        <v>6156000</v>
      </c>
      <c r="L572" s="1600">
        <f t="shared" si="39"/>
        <v>399.99999999994179</v>
      </c>
      <c r="M572" s="1598" t="s">
        <v>3664</v>
      </c>
      <c r="N572" s="1598" t="s">
        <v>3653</v>
      </c>
    </row>
    <row r="573" spans="1:14">
      <c r="A573" s="1488">
        <v>462</v>
      </c>
      <c r="B573" s="1811">
        <v>46</v>
      </c>
      <c r="C573" s="1487" t="s">
        <v>3707</v>
      </c>
      <c r="D573" s="1529" t="s">
        <v>3683</v>
      </c>
      <c r="E573" s="1529" t="s">
        <v>435</v>
      </c>
      <c r="F573" s="1531">
        <v>12</v>
      </c>
      <c r="G573" s="1531">
        <v>512600.00000000006</v>
      </c>
      <c r="H573" s="1531">
        <v>6151200.0000000009</v>
      </c>
      <c r="I573" s="1860">
        <v>12</v>
      </c>
      <c r="J573" s="1704">
        <v>513000</v>
      </c>
      <c r="K573" s="1560">
        <f t="shared" si="40"/>
        <v>6156000</v>
      </c>
      <c r="L573" s="1600">
        <f t="shared" si="39"/>
        <v>399.99999999994179</v>
      </c>
      <c r="M573" s="1598" t="s">
        <v>3664</v>
      </c>
      <c r="N573" s="1598" t="s">
        <v>3653</v>
      </c>
    </row>
    <row r="574" spans="1:14">
      <c r="A574" s="1488">
        <v>463</v>
      </c>
      <c r="B574" s="1811">
        <v>47</v>
      </c>
      <c r="C574" s="1487" t="s">
        <v>3708</v>
      </c>
      <c r="D574" s="1529" t="s">
        <v>3683</v>
      </c>
      <c r="E574" s="1529" t="s">
        <v>435</v>
      </c>
      <c r="F574" s="1531">
        <v>12</v>
      </c>
      <c r="G574" s="1531">
        <v>512600.00000000006</v>
      </c>
      <c r="H574" s="1531">
        <v>6151200.0000000009</v>
      </c>
      <c r="I574" s="1860">
        <v>12</v>
      </c>
      <c r="J574" s="1704">
        <v>513000</v>
      </c>
      <c r="K574" s="1560">
        <f t="shared" si="40"/>
        <v>6156000</v>
      </c>
      <c r="L574" s="1600">
        <f t="shared" si="39"/>
        <v>399.99999999994179</v>
      </c>
      <c r="M574" s="1598" t="s">
        <v>3664</v>
      </c>
      <c r="N574" s="1598" t="s">
        <v>3653</v>
      </c>
    </row>
    <row r="575" spans="1:14">
      <c r="A575" s="1488">
        <v>464</v>
      </c>
      <c r="B575" s="1811">
        <v>48</v>
      </c>
      <c r="C575" s="1487" t="s">
        <v>3709</v>
      </c>
      <c r="D575" s="1529" t="s">
        <v>3683</v>
      </c>
      <c r="E575" s="1529" t="s">
        <v>435</v>
      </c>
      <c r="F575" s="1531">
        <v>12</v>
      </c>
      <c r="G575" s="1531">
        <v>512600.00000000006</v>
      </c>
      <c r="H575" s="1531">
        <v>6151200.0000000009</v>
      </c>
      <c r="I575" s="1860">
        <v>12</v>
      </c>
      <c r="J575" s="1704">
        <v>513000</v>
      </c>
      <c r="K575" s="1560">
        <f t="shared" si="40"/>
        <v>6156000</v>
      </c>
      <c r="L575" s="1600">
        <f t="shared" si="39"/>
        <v>399.99999999994179</v>
      </c>
      <c r="M575" s="1598" t="s">
        <v>3664</v>
      </c>
      <c r="N575" s="1598" t="s">
        <v>3653</v>
      </c>
    </row>
    <row r="576" spans="1:14">
      <c r="A576" s="1488">
        <v>465</v>
      </c>
      <c r="B576" s="1811">
        <v>49</v>
      </c>
      <c r="C576" s="1487" t="s">
        <v>3710</v>
      </c>
      <c r="D576" s="1529" t="s">
        <v>3683</v>
      </c>
      <c r="E576" s="1529" t="s">
        <v>435</v>
      </c>
      <c r="F576" s="1531">
        <v>8</v>
      </c>
      <c r="G576" s="1531">
        <v>512600.00000000006</v>
      </c>
      <c r="H576" s="1531">
        <v>4100800.0000000005</v>
      </c>
      <c r="I576" s="1860">
        <v>8</v>
      </c>
      <c r="J576" s="1704">
        <v>513000</v>
      </c>
      <c r="K576" s="1560">
        <f t="shared" si="40"/>
        <v>4104000</v>
      </c>
      <c r="L576" s="1600">
        <f t="shared" si="39"/>
        <v>399.99999999994179</v>
      </c>
      <c r="M576" s="1598" t="s">
        <v>3664</v>
      </c>
      <c r="N576" s="1598" t="s">
        <v>3653</v>
      </c>
    </row>
    <row r="577" spans="1:14">
      <c r="A577" s="1488">
        <v>466</v>
      </c>
      <c r="B577" s="1811">
        <v>50</v>
      </c>
      <c r="C577" s="1487" t="s">
        <v>3711</v>
      </c>
      <c r="D577" s="1529" t="s">
        <v>3683</v>
      </c>
      <c r="E577" s="1529" t="s">
        <v>435</v>
      </c>
      <c r="F577" s="1531">
        <v>12</v>
      </c>
      <c r="G577" s="1531">
        <v>512600.00000000006</v>
      </c>
      <c r="H577" s="1531">
        <v>6151200.0000000009</v>
      </c>
      <c r="I577" s="1860">
        <v>12</v>
      </c>
      <c r="J577" s="1704">
        <v>513000</v>
      </c>
      <c r="K577" s="1560">
        <f t="shared" si="40"/>
        <v>6156000</v>
      </c>
      <c r="L577" s="1600">
        <f t="shared" si="39"/>
        <v>399.99999999994179</v>
      </c>
      <c r="M577" s="1598" t="s">
        <v>3664</v>
      </c>
      <c r="N577" s="1598" t="s">
        <v>3653</v>
      </c>
    </row>
    <row r="578" spans="1:14">
      <c r="A578" s="1488">
        <v>467</v>
      </c>
      <c r="B578" s="1811">
        <v>51</v>
      </c>
      <c r="C578" s="1487" t="s">
        <v>3712</v>
      </c>
      <c r="D578" s="1529" t="s">
        <v>3683</v>
      </c>
      <c r="E578" s="1529" t="s">
        <v>435</v>
      </c>
      <c r="F578" s="1531">
        <v>12</v>
      </c>
      <c r="G578" s="1531">
        <v>512600.00000000006</v>
      </c>
      <c r="H578" s="1531">
        <v>6151200.0000000009</v>
      </c>
      <c r="I578" s="1860">
        <v>12</v>
      </c>
      <c r="J578" s="1704">
        <v>513000</v>
      </c>
      <c r="K578" s="1560">
        <f t="shared" si="40"/>
        <v>6156000</v>
      </c>
      <c r="L578" s="1600">
        <f t="shared" si="39"/>
        <v>399.99999999994179</v>
      </c>
      <c r="M578" s="1598" t="s">
        <v>3664</v>
      </c>
      <c r="N578" s="1598" t="s">
        <v>3653</v>
      </c>
    </row>
    <row r="579" spans="1:14">
      <c r="A579" s="1488">
        <v>468</v>
      </c>
      <c r="B579" s="1811">
        <v>52</v>
      </c>
      <c r="C579" s="1487" t="s">
        <v>3713</v>
      </c>
      <c r="D579" s="1529" t="s">
        <v>3683</v>
      </c>
      <c r="E579" s="1529" t="s">
        <v>435</v>
      </c>
      <c r="F579" s="1531">
        <v>12</v>
      </c>
      <c r="G579" s="1531">
        <v>512600.00000000006</v>
      </c>
      <c r="H579" s="1531">
        <v>6151200.0000000009</v>
      </c>
      <c r="I579" s="1860">
        <v>12</v>
      </c>
      <c r="J579" s="1704">
        <v>513000</v>
      </c>
      <c r="K579" s="1560">
        <f t="shared" si="40"/>
        <v>6156000</v>
      </c>
      <c r="L579" s="1600">
        <f t="shared" si="39"/>
        <v>399.99999999994179</v>
      </c>
      <c r="M579" s="1598" t="s">
        <v>3664</v>
      </c>
      <c r="N579" s="1598" t="s">
        <v>3653</v>
      </c>
    </row>
    <row r="580" spans="1:14">
      <c r="A580" s="1488">
        <v>469</v>
      </c>
      <c r="B580" s="1811">
        <v>53</v>
      </c>
      <c r="C580" s="1487" t="s">
        <v>3714</v>
      </c>
      <c r="D580" s="1529" t="s">
        <v>3683</v>
      </c>
      <c r="E580" s="1529" t="s">
        <v>435</v>
      </c>
      <c r="F580" s="1531">
        <v>12</v>
      </c>
      <c r="G580" s="1531">
        <v>512600.00000000006</v>
      </c>
      <c r="H580" s="1531">
        <v>6151200.0000000009</v>
      </c>
      <c r="I580" s="1860">
        <v>12</v>
      </c>
      <c r="J580" s="1704">
        <v>513000</v>
      </c>
      <c r="K580" s="1560">
        <f t="shared" si="40"/>
        <v>6156000</v>
      </c>
      <c r="L580" s="1600">
        <f t="shared" si="39"/>
        <v>399.99999999994179</v>
      </c>
      <c r="M580" s="1598" t="s">
        <v>3664</v>
      </c>
      <c r="N580" s="1598" t="s">
        <v>3653</v>
      </c>
    </row>
    <row r="581" spans="1:14">
      <c r="A581" s="1488">
        <v>470</v>
      </c>
      <c r="B581" s="1811">
        <v>54</v>
      </c>
      <c r="C581" s="1487" t="s">
        <v>3715</v>
      </c>
      <c r="D581" s="1526" t="s">
        <v>3683</v>
      </c>
      <c r="E581" s="1529" t="s">
        <v>435</v>
      </c>
      <c r="F581" s="1531">
        <v>12</v>
      </c>
      <c r="G581" s="1531">
        <v>512600.00000000006</v>
      </c>
      <c r="H581" s="1531">
        <v>6151200.0000000009</v>
      </c>
      <c r="I581" s="1860">
        <v>12</v>
      </c>
      <c r="J581" s="1704">
        <v>513000</v>
      </c>
      <c r="K581" s="1560">
        <f t="shared" si="40"/>
        <v>6156000</v>
      </c>
      <c r="L581" s="1600">
        <f t="shared" si="39"/>
        <v>399.99999999994179</v>
      </c>
      <c r="M581" s="1598" t="s">
        <v>3664</v>
      </c>
      <c r="N581" s="1598" t="s">
        <v>3653</v>
      </c>
    </row>
    <row r="582" spans="1:14">
      <c r="A582" s="1488">
        <v>471</v>
      </c>
      <c r="B582" s="1811">
        <v>55</v>
      </c>
      <c r="C582" s="1487" t="s">
        <v>3716</v>
      </c>
      <c r="D582" s="1529" t="s">
        <v>3663</v>
      </c>
      <c r="E582" s="1529" t="s">
        <v>435</v>
      </c>
      <c r="F582" s="1531">
        <v>8</v>
      </c>
      <c r="G582" s="1531">
        <v>1576300</v>
      </c>
      <c r="H582" s="1531">
        <v>12610400</v>
      </c>
      <c r="I582" s="1860">
        <v>8</v>
      </c>
      <c r="J582" s="1704">
        <v>1577000</v>
      </c>
      <c r="K582" s="1560">
        <f t="shared" si="40"/>
        <v>12616000</v>
      </c>
      <c r="L582" s="1600">
        <f t="shared" si="39"/>
        <v>700</v>
      </c>
      <c r="M582" s="1598" t="s">
        <v>3664</v>
      </c>
      <c r="N582" s="1598" t="s">
        <v>3653</v>
      </c>
    </row>
    <row r="583" spans="1:14">
      <c r="A583" s="1488">
        <v>472</v>
      </c>
      <c r="B583" s="1811">
        <v>56</v>
      </c>
      <c r="C583" s="1487" t="s">
        <v>3717</v>
      </c>
      <c r="D583" s="1529" t="s">
        <v>3683</v>
      </c>
      <c r="E583" s="1529" t="s">
        <v>435</v>
      </c>
      <c r="F583" s="1531">
        <v>12</v>
      </c>
      <c r="G583" s="1531">
        <v>512600.00000000006</v>
      </c>
      <c r="H583" s="1531">
        <v>6151200.0000000009</v>
      </c>
      <c r="I583" s="1860">
        <v>12</v>
      </c>
      <c r="J583" s="1704">
        <v>513000</v>
      </c>
      <c r="K583" s="1560">
        <f t="shared" si="40"/>
        <v>6156000</v>
      </c>
      <c r="L583" s="1600">
        <f t="shared" si="39"/>
        <v>399.99999999994179</v>
      </c>
      <c r="M583" s="1598" t="s">
        <v>3664</v>
      </c>
      <c r="N583" s="1598" t="s">
        <v>3653</v>
      </c>
    </row>
    <row r="584" spans="1:14">
      <c r="A584" s="1488">
        <v>473</v>
      </c>
      <c r="B584" s="1811">
        <v>57</v>
      </c>
      <c r="C584" s="1487" t="s">
        <v>3718</v>
      </c>
      <c r="D584" s="1529" t="s">
        <v>3683</v>
      </c>
      <c r="E584" s="1529" t="s">
        <v>435</v>
      </c>
      <c r="F584" s="1531">
        <v>12</v>
      </c>
      <c r="G584" s="1531">
        <v>512600.00000000006</v>
      </c>
      <c r="H584" s="1531">
        <v>6151200.0000000009</v>
      </c>
      <c r="I584" s="1860">
        <v>12</v>
      </c>
      <c r="J584" s="1704">
        <v>513000</v>
      </c>
      <c r="K584" s="1560">
        <f t="shared" si="40"/>
        <v>6156000</v>
      </c>
      <c r="L584" s="1600">
        <f t="shared" si="39"/>
        <v>399.99999999994179</v>
      </c>
      <c r="M584" s="1598" t="s">
        <v>3664</v>
      </c>
      <c r="N584" s="1598" t="s">
        <v>3653</v>
      </c>
    </row>
    <row r="585" spans="1:14">
      <c r="A585" s="1488">
        <v>474</v>
      </c>
      <c r="B585" s="1811">
        <v>58</v>
      </c>
      <c r="C585" s="1487" t="s">
        <v>3719</v>
      </c>
      <c r="D585" s="1529" t="s">
        <v>3663</v>
      </c>
      <c r="E585" s="1529" t="s">
        <v>435</v>
      </c>
      <c r="F585" s="1531">
        <v>8</v>
      </c>
      <c r="G585" s="1531">
        <v>1772100.0000000002</v>
      </c>
      <c r="H585" s="1531">
        <v>14176800.000000002</v>
      </c>
      <c r="I585" s="1860">
        <v>8</v>
      </c>
      <c r="J585" s="1704">
        <v>1775000</v>
      </c>
      <c r="K585" s="1560">
        <f t="shared" si="40"/>
        <v>14200000</v>
      </c>
      <c r="L585" s="1600">
        <f t="shared" si="39"/>
        <v>2899.9999999997672</v>
      </c>
      <c r="M585" s="1598" t="s">
        <v>3664</v>
      </c>
      <c r="N585" s="1598" t="s">
        <v>3653</v>
      </c>
    </row>
    <row r="586" spans="1:14">
      <c r="A586" s="1488">
        <v>475</v>
      </c>
      <c r="B586" s="1811">
        <v>59</v>
      </c>
      <c r="C586" s="1487" t="s">
        <v>3720</v>
      </c>
      <c r="D586" s="1529" t="s">
        <v>3683</v>
      </c>
      <c r="E586" s="1529" t="s">
        <v>435</v>
      </c>
      <c r="F586" s="1531">
        <v>12</v>
      </c>
      <c r="G586" s="1531">
        <v>512600.00000000006</v>
      </c>
      <c r="H586" s="1531">
        <v>6151200.0000000009</v>
      </c>
      <c r="I586" s="1860">
        <v>12</v>
      </c>
      <c r="J586" s="1704">
        <v>513000</v>
      </c>
      <c r="K586" s="1560">
        <f t="shared" si="40"/>
        <v>6156000</v>
      </c>
      <c r="L586" s="1600">
        <f t="shared" si="39"/>
        <v>399.99999999994179</v>
      </c>
      <c r="M586" s="1598" t="s">
        <v>3664</v>
      </c>
      <c r="N586" s="1598" t="s">
        <v>3653</v>
      </c>
    </row>
    <row r="587" spans="1:14">
      <c r="A587" s="1488">
        <v>476</v>
      </c>
      <c r="B587" s="1811">
        <v>60</v>
      </c>
      <c r="C587" s="1487" t="s">
        <v>3721</v>
      </c>
      <c r="D587" s="1529" t="s">
        <v>3722</v>
      </c>
      <c r="E587" s="1529" t="s">
        <v>435</v>
      </c>
      <c r="F587" s="1531">
        <v>8</v>
      </c>
      <c r="G587" s="1531">
        <v>12017500</v>
      </c>
      <c r="H587" s="1531">
        <v>96140000</v>
      </c>
      <c r="I587" s="1860">
        <v>8</v>
      </c>
      <c r="J587" s="1704">
        <v>12018000</v>
      </c>
      <c r="K587" s="1560">
        <f t="shared" si="40"/>
        <v>96144000</v>
      </c>
      <c r="L587" s="1600">
        <f t="shared" si="39"/>
        <v>500</v>
      </c>
      <c r="M587" s="1598" t="s">
        <v>3652</v>
      </c>
      <c r="N587" s="1598" t="s">
        <v>3653</v>
      </c>
    </row>
    <row r="588" spans="1:14">
      <c r="A588" s="1488">
        <v>477</v>
      </c>
      <c r="B588" s="1811">
        <v>61</v>
      </c>
      <c r="C588" s="1487" t="s">
        <v>3723</v>
      </c>
      <c r="D588" s="1529" t="s">
        <v>3724</v>
      </c>
      <c r="E588" s="1529" t="s">
        <v>435</v>
      </c>
      <c r="F588" s="1531">
        <v>8</v>
      </c>
      <c r="G588" s="1531">
        <v>3839000</v>
      </c>
      <c r="H588" s="1531">
        <v>30712000</v>
      </c>
      <c r="I588" s="1860">
        <v>8</v>
      </c>
      <c r="J588" s="1704">
        <v>3840000</v>
      </c>
      <c r="K588" s="1560">
        <f t="shared" si="40"/>
        <v>30720000</v>
      </c>
      <c r="L588" s="1600">
        <f t="shared" si="39"/>
        <v>1000</v>
      </c>
      <c r="M588" s="1598" t="s">
        <v>3652</v>
      </c>
      <c r="N588" s="1598" t="s">
        <v>3653</v>
      </c>
    </row>
    <row r="589" spans="1:14">
      <c r="A589" s="1488">
        <v>478</v>
      </c>
      <c r="B589" s="1811">
        <v>62</v>
      </c>
      <c r="C589" s="1487" t="s">
        <v>3725</v>
      </c>
      <c r="D589" s="1529" t="s">
        <v>3724</v>
      </c>
      <c r="E589" s="1529" t="s">
        <v>435</v>
      </c>
      <c r="F589" s="1531">
        <v>8</v>
      </c>
      <c r="G589" s="1531">
        <v>3802700</v>
      </c>
      <c r="H589" s="1531">
        <v>30421600</v>
      </c>
      <c r="I589" s="1860">
        <v>8</v>
      </c>
      <c r="J589" s="1704">
        <v>3803000</v>
      </c>
      <c r="K589" s="1560">
        <f t="shared" si="40"/>
        <v>30424000</v>
      </c>
      <c r="L589" s="1600">
        <f t="shared" si="39"/>
        <v>300</v>
      </c>
      <c r="M589" s="1598" t="s">
        <v>3652</v>
      </c>
      <c r="N589" s="1598" t="s">
        <v>3653</v>
      </c>
    </row>
    <row r="590" spans="1:14">
      <c r="A590" s="1488">
        <v>479</v>
      </c>
      <c r="B590" s="1811">
        <v>63</v>
      </c>
      <c r="C590" s="1487" t="s">
        <v>3726</v>
      </c>
      <c r="D590" s="1529" t="s">
        <v>3724</v>
      </c>
      <c r="E590" s="1529" t="s">
        <v>435</v>
      </c>
      <c r="F590" s="1531">
        <v>8</v>
      </c>
      <c r="G590" s="1531">
        <v>3526600</v>
      </c>
      <c r="H590" s="1531">
        <v>28212800</v>
      </c>
      <c r="I590" s="1860">
        <v>8</v>
      </c>
      <c r="J590" s="1704">
        <v>3527000</v>
      </c>
      <c r="K590" s="1560">
        <f t="shared" si="40"/>
        <v>28216000</v>
      </c>
      <c r="L590" s="1600">
        <f t="shared" si="39"/>
        <v>400</v>
      </c>
      <c r="M590" s="1598" t="s">
        <v>3652</v>
      </c>
      <c r="N590" s="1598" t="s">
        <v>3653</v>
      </c>
    </row>
    <row r="591" spans="1:14">
      <c r="A591" s="1488">
        <v>480</v>
      </c>
      <c r="B591" s="1811">
        <v>64</v>
      </c>
      <c r="C591" s="1487" t="s">
        <v>3727</v>
      </c>
      <c r="D591" s="1529" t="s">
        <v>3724</v>
      </c>
      <c r="E591" s="1529" t="s">
        <v>435</v>
      </c>
      <c r="F591" s="1531">
        <v>8</v>
      </c>
      <c r="G591" s="1531">
        <v>3802700</v>
      </c>
      <c r="H591" s="1531">
        <v>30421600</v>
      </c>
      <c r="I591" s="1860">
        <v>8</v>
      </c>
      <c r="J591" s="1704">
        <v>3803000</v>
      </c>
      <c r="K591" s="1560">
        <f t="shared" si="40"/>
        <v>30424000</v>
      </c>
      <c r="L591" s="1600">
        <f t="shared" si="39"/>
        <v>300</v>
      </c>
      <c r="M591" s="1598" t="s">
        <v>3652</v>
      </c>
      <c r="N591" s="1598" t="s">
        <v>3653</v>
      </c>
    </row>
    <row r="592" spans="1:14">
      <c r="A592" s="1488">
        <v>481</v>
      </c>
      <c r="B592" s="1811">
        <v>65</v>
      </c>
      <c r="C592" s="1487" t="s">
        <v>3728</v>
      </c>
      <c r="D592" s="1529" t="s">
        <v>3724</v>
      </c>
      <c r="E592" s="1529" t="s">
        <v>435</v>
      </c>
      <c r="F592" s="1531">
        <v>8</v>
      </c>
      <c r="G592" s="1531">
        <v>3681700</v>
      </c>
      <c r="H592" s="1531">
        <v>29453600</v>
      </c>
      <c r="I592" s="1860">
        <v>8</v>
      </c>
      <c r="J592" s="1704">
        <v>3682000</v>
      </c>
      <c r="K592" s="1560">
        <f t="shared" si="40"/>
        <v>29456000</v>
      </c>
      <c r="L592" s="1600">
        <f t="shared" ref="L592:L650" si="41">J592-G592</f>
        <v>300</v>
      </c>
      <c r="M592" s="1598" t="s">
        <v>3652</v>
      </c>
      <c r="N592" s="1598" t="s">
        <v>3653</v>
      </c>
    </row>
    <row r="593" spans="1:14">
      <c r="A593" s="1488">
        <v>482</v>
      </c>
      <c r="B593" s="1811">
        <v>66</v>
      </c>
      <c r="C593" s="1487" t="s">
        <v>3729</v>
      </c>
      <c r="D593" s="1529" t="s">
        <v>3724</v>
      </c>
      <c r="E593" s="1529" t="s">
        <v>435</v>
      </c>
      <c r="F593" s="1531">
        <v>8</v>
      </c>
      <c r="G593" s="1531">
        <v>3916000</v>
      </c>
      <c r="H593" s="1531">
        <v>31328000</v>
      </c>
      <c r="I593" s="1860">
        <v>8</v>
      </c>
      <c r="J593" s="1704">
        <v>3917000</v>
      </c>
      <c r="K593" s="1560">
        <f t="shared" ref="K593:K650" si="42">I593*J593</f>
        <v>31336000</v>
      </c>
      <c r="L593" s="1600">
        <f t="shared" si="41"/>
        <v>1000</v>
      </c>
      <c r="M593" s="1598" t="s">
        <v>3652</v>
      </c>
      <c r="N593" s="1598" t="s">
        <v>3653</v>
      </c>
    </row>
    <row r="594" spans="1:14">
      <c r="A594" s="1488">
        <v>483</v>
      </c>
      <c r="B594" s="1811">
        <v>67</v>
      </c>
      <c r="C594" s="1487" t="s">
        <v>3730</v>
      </c>
      <c r="D594" s="1529" t="s">
        <v>3724</v>
      </c>
      <c r="E594" s="1529" t="s">
        <v>435</v>
      </c>
      <c r="F594" s="1531">
        <v>8</v>
      </c>
      <c r="G594" s="1531">
        <v>5156800</v>
      </c>
      <c r="H594" s="1531">
        <v>41254400</v>
      </c>
      <c r="I594" s="1860">
        <v>8</v>
      </c>
      <c r="J594" s="1704">
        <v>5191000</v>
      </c>
      <c r="K594" s="1560">
        <f t="shared" si="42"/>
        <v>41528000</v>
      </c>
      <c r="L594" s="1600">
        <f t="shared" si="41"/>
        <v>34200</v>
      </c>
      <c r="M594" s="1598" t="s">
        <v>3652</v>
      </c>
      <c r="N594" s="1598" t="s">
        <v>3653</v>
      </c>
    </row>
    <row r="595" spans="1:14">
      <c r="A595" s="1488">
        <v>484</v>
      </c>
      <c r="B595" s="1811">
        <v>68</v>
      </c>
      <c r="C595" s="1487" t="s">
        <v>3731</v>
      </c>
      <c r="D595" s="1529" t="s">
        <v>3724</v>
      </c>
      <c r="E595" s="1529" t="s">
        <v>435</v>
      </c>
      <c r="F595" s="1531">
        <v>8</v>
      </c>
      <c r="G595" s="1531">
        <v>3839000</v>
      </c>
      <c r="H595" s="1531">
        <v>30712000</v>
      </c>
      <c r="I595" s="1860">
        <v>8</v>
      </c>
      <c r="J595" s="1704">
        <v>3840000</v>
      </c>
      <c r="K595" s="1560">
        <f t="shared" si="42"/>
        <v>30720000</v>
      </c>
      <c r="L595" s="1600">
        <f t="shared" si="41"/>
        <v>1000</v>
      </c>
      <c r="M595" s="1598" t="s">
        <v>3652</v>
      </c>
      <c r="N595" s="1598" t="s">
        <v>3653</v>
      </c>
    </row>
    <row r="596" spans="1:14">
      <c r="A596" s="1488">
        <v>485</v>
      </c>
      <c r="B596" s="1811">
        <v>69</v>
      </c>
      <c r="C596" s="1487" t="s">
        <v>3732</v>
      </c>
      <c r="D596" s="1529" t="s">
        <v>3724</v>
      </c>
      <c r="E596" s="1529" t="s">
        <v>435</v>
      </c>
      <c r="F596" s="1531">
        <v>8</v>
      </c>
      <c r="G596" s="1531">
        <v>3839000</v>
      </c>
      <c r="H596" s="1531">
        <v>30712000</v>
      </c>
      <c r="I596" s="1860">
        <v>8</v>
      </c>
      <c r="J596" s="1704">
        <v>3840000</v>
      </c>
      <c r="K596" s="1560">
        <f t="shared" si="42"/>
        <v>30720000</v>
      </c>
      <c r="L596" s="1600">
        <f t="shared" si="41"/>
        <v>1000</v>
      </c>
      <c r="M596" s="1598" t="s">
        <v>3652</v>
      </c>
      <c r="N596" s="1598" t="s">
        <v>3653</v>
      </c>
    </row>
    <row r="597" spans="1:14">
      <c r="A597" s="1488">
        <v>486</v>
      </c>
      <c r="B597" s="1811">
        <v>70</v>
      </c>
      <c r="C597" s="1728" t="s">
        <v>3733</v>
      </c>
      <c r="D597" s="1529" t="s">
        <v>3734</v>
      </c>
      <c r="E597" s="1529" t="s">
        <v>435</v>
      </c>
      <c r="F597" s="1531">
        <v>1</v>
      </c>
      <c r="G597" s="1531">
        <v>10131000</v>
      </c>
      <c r="H597" s="1531">
        <v>10131000</v>
      </c>
      <c r="I597" s="1860">
        <v>1</v>
      </c>
      <c r="J597" s="1704">
        <v>10232000</v>
      </c>
      <c r="K597" s="1560">
        <f t="shared" si="42"/>
        <v>10232000</v>
      </c>
      <c r="L597" s="1600">
        <f t="shared" si="41"/>
        <v>101000</v>
      </c>
      <c r="M597" s="1598" t="s">
        <v>3660</v>
      </c>
      <c r="N597" s="1598" t="s">
        <v>3653</v>
      </c>
    </row>
    <row r="598" spans="1:14" ht="18">
      <c r="A598" s="1488">
        <v>487</v>
      </c>
      <c r="B598" s="1811">
        <v>71</v>
      </c>
      <c r="C598" s="1728" t="s">
        <v>3735</v>
      </c>
      <c r="D598" s="1529" t="s">
        <v>3655</v>
      </c>
      <c r="E598" s="1529" t="s">
        <v>435</v>
      </c>
      <c r="F598" s="1531">
        <v>4</v>
      </c>
      <c r="G598" s="1531">
        <v>4149200</v>
      </c>
      <c r="H598" s="1531">
        <v>16596800</v>
      </c>
      <c r="I598" s="1704">
        <v>4</v>
      </c>
      <c r="J598" s="1704">
        <v>4445000</v>
      </c>
      <c r="K598" s="1560">
        <f t="shared" si="42"/>
        <v>17780000</v>
      </c>
      <c r="L598" s="1600">
        <f t="shared" si="41"/>
        <v>295800</v>
      </c>
      <c r="M598" s="1598" t="s">
        <v>3652</v>
      </c>
      <c r="N598" s="1598" t="s">
        <v>3653</v>
      </c>
    </row>
    <row r="599" spans="1:14" ht="18">
      <c r="A599" s="1488">
        <v>488</v>
      </c>
      <c r="B599" s="1811">
        <v>72</v>
      </c>
      <c r="C599" s="1728" t="s">
        <v>3736</v>
      </c>
      <c r="D599" s="1529" t="s">
        <v>3655</v>
      </c>
      <c r="E599" s="1529" t="s">
        <v>435</v>
      </c>
      <c r="F599" s="1531">
        <v>4</v>
      </c>
      <c r="G599" s="1531">
        <v>4149200</v>
      </c>
      <c r="H599" s="1531">
        <v>16596800</v>
      </c>
      <c r="I599" s="1704">
        <v>4</v>
      </c>
      <c r="J599" s="1704">
        <v>4445000</v>
      </c>
      <c r="K599" s="1560">
        <f t="shared" si="42"/>
        <v>17780000</v>
      </c>
      <c r="L599" s="1600">
        <f t="shared" si="41"/>
        <v>295800</v>
      </c>
      <c r="M599" s="1598" t="s">
        <v>3652</v>
      </c>
      <c r="N599" s="1598" t="s">
        <v>3653</v>
      </c>
    </row>
    <row r="600" spans="1:14" ht="18">
      <c r="A600" s="1488">
        <v>489</v>
      </c>
      <c r="B600" s="1811">
        <v>73</v>
      </c>
      <c r="C600" s="1728" t="s">
        <v>3737</v>
      </c>
      <c r="D600" s="1529" t="s">
        <v>3738</v>
      </c>
      <c r="E600" s="1529" t="s">
        <v>435</v>
      </c>
      <c r="F600" s="1531">
        <v>2</v>
      </c>
      <c r="G600" s="1531">
        <v>4369200</v>
      </c>
      <c r="H600" s="1531">
        <v>8738400</v>
      </c>
      <c r="I600" s="1704">
        <v>2</v>
      </c>
      <c r="J600" s="1704">
        <v>4373000</v>
      </c>
      <c r="K600" s="1560">
        <f t="shared" si="42"/>
        <v>8746000</v>
      </c>
      <c r="L600" s="1600">
        <f t="shared" si="41"/>
        <v>3800</v>
      </c>
      <c r="M600" s="1598" t="s">
        <v>3652</v>
      </c>
      <c r="N600" s="1598" t="s">
        <v>3653</v>
      </c>
    </row>
    <row r="601" spans="1:14">
      <c r="A601" s="1488">
        <v>490</v>
      </c>
      <c r="B601" s="1811">
        <v>74</v>
      </c>
      <c r="C601" s="1728" t="s">
        <v>3739</v>
      </c>
      <c r="D601" s="1529" t="s">
        <v>3740</v>
      </c>
      <c r="E601" s="1529" t="s">
        <v>435</v>
      </c>
      <c r="F601" s="1531">
        <v>2</v>
      </c>
      <c r="G601" s="1531">
        <v>1556500</v>
      </c>
      <c r="H601" s="1531">
        <v>3113000</v>
      </c>
      <c r="I601" s="1704">
        <v>2</v>
      </c>
      <c r="J601" s="1704">
        <v>1669000</v>
      </c>
      <c r="K601" s="1560">
        <f t="shared" si="42"/>
        <v>3338000</v>
      </c>
      <c r="L601" s="1600">
        <f t="shared" si="41"/>
        <v>112500</v>
      </c>
      <c r="M601" s="1598" t="s">
        <v>3652</v>
      </c>
      <c r="N601" s="1598" t="s">
        <v>3653</v>
      </c>
    </row>
    <row r="602" spans="1:14">
      <c r="A602" s="1488">
        <v>491</v>
      </c>
      <c r="B602" s="1811">
        <v>75</v>
      </c>
      <c r="C602" s="1728" t="s">
        <v>3741</v>
      </c>
      <c r="D602" s="1529" t="s">
        <v>3740</v>
      </c>
      <c r="E602" s="1529" t="s">
        <v>435</v>
      </c>
      <c r="F602" s="1531">
        <v>2</v>
      </c>
      <c r="G602" s="1531">
        <v>1556500</v>
      </c>
      <c r="H602" s="1531">
        <v>3113000</v>
      </c>
      <c r="I602" s="1704">
        <v>2</v>
      </c>
      <c r="J602" s="1704">
        <v>1669000</v>
      </c>
      <c r="K602" s="1560">
        <f t="shared" si="42"/>
        <v>3338000</v>
      </c>
      <c r="L602" s="1600">
        <f t="shared" si="41"/>
        <v>112500</v>
      </c>
      <c r="M602" s="1598" t="s">
        <v>3652</v>
      </c>
      <c r="N602" s="1598" t="s">
        <v>3653</v>
      </c>
    </row>
    <row r="603" spans="1:14">
      <c r="A603" s="1488">
        <v>492</v>
      </c>
      <c r="B603" s="1811">
        <v>76</v>
      </c>
      <c r="C603" s="1728" t="s">
        <v>3742</v>
      </c>
      <c r="D603" s="1529" t="s">
        <v>3743</v>
      </c>
      <c r="E603" s="1529" t="s">
        <v>435</v>
      </c>
      <c r="F603" s="1531">
        <v>2</v>
      </c>
      <c r="G603" s="1531">
        <v>1147300</v>
      </c>
      <c r="H603" s="1531">
        <v>2294600</v>
      </c>
      <c r="I603" s="1704">
        <v>2</v>
      </c>
      <c r="J603" s="1704">
        <v>1229000</v>
      </c>
      <c r="K603" s="1560">
        <f t="shared" si="42"/>
        <v>2458000</v>
      </c>
      <c r="L603" s="1600">
        <f t="shared" si="41"/>
        <v>81700</v>
      </c>
      <c r="M603" s="1598" t="s">
        <v>3652</v>
      </c>
      <c r="N603" s="1598" t="s">
        <v>3653</v>
      </c>
    </row>
    <row r="604" spans="1:14">
      <c r="A604" s="1488">
        <v>493</v>
      </c>
      <c r="B604" s="1811">
        <v>77</v>
      </c>
      <c r="C604" s="1728" t="s">
        <v>3744</v>
      </c>
      <c r="D604" s="1529" t="s">
        <v>3743</v>
      </c>
      <c r="E604" s="1529" t="s">
        <v>435</v>
      </c>
      <c r="F604" s="1531">
        <v>2</v>
      </c>
      <c r="G604" s="1531">
        <v>971300</v>
      </c>
      <c r="H604" s="1531">
        <v>1942600</v>
      </c>
      <c r="I604" s="1704">
        <v>2</v>
      </c>
      <c r="J604" s="1704">
        <v>1041000</v>
      </c>
      <c r="K604" s="1560">
        <f t="shared" si="42"/>
        <v>2082000</v>
      </c>
      <c r="L604" s="1600">
        <f t="shared" si="41"/>
        <v>69700</v>
      </c>
      <c r="M604" s="1598" t="s">
        <v>3652</v>
      </c>
      <c r="N604" s="1598" t="s">
        <v>3653</v>
      </c>
    </row>
    <row r="605" spans="1:14">
      <c r="A605" s="1488">
        <v>494</v>
      </c>
      <c r="B605" s="1811">
        <v>78</v>
      </c>
      <c r="C605" s="1728" t="s">
        <v>3745</v>
      </c>
      <c r="D605" s="1529" t="s">
        <v>3746</v>
      </c>
      <c r="E605" s="1529" t="s">
        <v>435</v>
      </c>
      <c r="F605" s="1531">
        <v>2</v>
      </c>
      <c r="G605" s="1531">
        <v>836000</v>
      </c>
      <c r="H605" s="1531">
        <v>1672000</v>
      </c>
      <c r="I605" s="1704">
        <v>2</v>
      </c>
      <c r="J605" s="1704">
        <v>895000</v>
      </c>
      <c r="K605" s="1560">
        <f t="shared" si="42"/>
        <v>1790000</v>
      </c>
      <c r="L605" s="1600">
        <f t="shared" si="41"/>
        <v>59000</v>
      </c>
      <c r="M605" s="1598" t="s">
        <v>3652</v>
      </c>
      <c r="N605" s="1598" t="s">
        <v>3653</v>
      </c>
    </row>
    <row r="606" spans="1:14">
      <c r="A606" s="1488">
        <v>495</v>
      </c>
      <c r="B606" s="1811">
        <v>79</v>
      </c>
      <c r="C606" s="1728" t="s">
        <v>3747</v>
      </c>
      <c r="D606" s="1529" t="s">
        <v>3748</v>
      </c>
      <c r="E606" s="1529" t="s">
        <v>435</v>
      </c>
      <c r="F606" s="1531">
        <v>2</v>
      </c>
      <c r="G606" s="1531">
        <v>300300</v>
      </c>
      <c r="H606" s="1531">
        <v>600600</v>
      </c>
      <c r="I606" s="1704">
        <v>2</v>
      </c>
      <c r="J606" s="1704">
        <v>322000</v>
      </c>
      <c r="K606" s="1560">
        <f t="shared" si="42"/>
        <v>644000</v>
      </c>
      <c r="L606" s="1600">
        <f t="shared" si="41"/>
        <v>21700</v>
      </c>
      <c r="M606" s="1598" t="s">
        <v>3652</v>
      </c>
      <c r="N606" s="1598" t="s">
        <v>3653</v>
      </c>
    </row>
    <row r="607" spans="1:14">
      <c r="A607" s="1488">
        <v>496</v>
      </c>
      <c r="B607" s="1811">
        <v>80</v>
      </c>
      <c r="C607" s="1728" t="s">
        <v>3749</v>
      </c>
      <c r="D607" s="1529" t="s">
        <v>3657</v>
      </c>
      <c r="E607" s="1529" t="s">
        <v>435</v>
      </c>
      <c r="F607" s="1531">
        <v>1</v>
      </c>
      <c r="G607" s="1531">
        <v>2182400</v>
      </c>
      <c r="H607" s="1531">
        <v>2182400</v>
      </c>
      <c r="I607" s="1704">
        <v>1</v>
      </c>
      <c r="J607" s="1704">
        <v>2339000</v>
      </c>
      <c r="K607" s="1560">
        <f t="shared" si="42"/>
        <v>2339000</v>
      </c>
      <c r="L607" s="1600">
        <f t="shared" si="41"/>
        <v>156600</v>
      </c>
      <c r="M607" s="1598" t="s">
        <v>3652</v>
      </c>
      <c r="N607" s="1598" t="s">
        <v>3653</v>
      </c>
    </row>
    <row r="608" spans="1:14">
      <c r="A608" s="1488">
        <v>497</v>
      </c>
      <c r="B608" s="1811">
        <v>81</v>
      </c>
      <c r="C608" s="1728" t="s">
        <v>3750</v>
      </c>
      <c r="D608" s="1529" t="s">
        <v>3751</v>
      </c>
      <c r="E608" s="1529" t="s">
        <v>435</v>
      </c>
      <c r="F608" s="1531">
        <v>3</v>
      </c>
      <c r="G608" s="1531">
        <v>4787200</v>
      </c>
      <c r="H608" s="1531">
        <v>14361600</v>
      </c>
      <c r="I608" s="1704">
        <v>3</v>
      </c>
      <c r="J608" s="1704">
        <v>5129000</v>
      </c>
      <c r="K608" s="1560">
        <f t="shared" si="42"/>
        <v>15387000</v>
      </c>
      <c r="L608" s="1600">
        <f t="shared" si="41"/>
        <v>341800</v>
      </c>
      <c r="M608" s="1598" t="s">
        <v>3752</v>
      </c>
      <c r="N608" s="1598" t="s">
        <v>3653</v>
      </c>
    </row>
    <row r="609" spans="1:14">
      <c r="A609" s="1488">
        <v>498</v>
      </c>
      <c r="B609" s="1811">
        <v>82</v>
      </c>
      <c r="C609" s="1728" t="s">
        <v>3753</v>
      </c>
      <c r="D609" s="1529" t="s">
        <v>3754</v>
      </c>
      <c r="E609" s="1529" t="s">
        <v>435</v>
      </c>
      <c r="F609" s="1531">
        <v>6</v>
      </c>
      <c r="G609" s="1531">
        <v>5335000</v>
      </c>
      <c r="H609" s="1531">
        <v>32010000</v>
      </c>
      <c r="I609" s="1704">
        <v>6</v>
      </c>
      <c r="J609" s="1704">
        <v>5717000</v>
      </c>
      <c r="K609" s="1560">
        <f t="shared" si="42"/>
        <v>34302000</v>
      </c>
      <c r="L609" s="1600">
        <f t="shared" si="41"/>
        <v>382000</v>
      </c>
      <c r="M609" s="1598" t="s">
        <v>3755</v>
      </c>
      <c r="N609" s="1598" t="s">
        <v>3653</v>
      </c>
    </row>
    <row r="610" spans="1:14">
      <c r="A610" s="1488">
        <v>499</v>
      </c>
      <c r="B610" s="1811">
        <v>83</v>
      </c>
      <c r="C610" s="1728" t="s">
        <v>3756</v>
      </c>
      <c r="D610" s="1529" t="s">
        <v>3757</v>
      </c>
      <c r="E610" s="1529" t="s">
        <v>435</v>
      </c>
      <c r="F610" s="1531">
        <v>4</v>
      </c>
      <c r="G610" s="1531">
        <v>4035900</v>
      </c>
      <c r="H610" s="1531">
        <v>16143600</v>
      </c>
      <c r="I610" s="1704">
        <v>4</v>
      </c>
      <c r="J610" s="1704">
        <v>4037000</v>
      </c>
      <c r="K610" s="1560">
        <f t="shared" si="42"/>
        <v>16148000</v>
      </c>
      <c r="L610" s="1600">
        <f t="shared" si="41"/>
        <v>1100</v>
      </c>
      <c r="M610" s="1598" t="s">
        <v>3652</v>
      </c>
      <c r="N610" s="1598" t="s">
        <v>3653</v>
      </c>
    </row>
    <row r="611" spans="1:14">
      <c r="A611" s="1488">
        <v>500</v>
      </c>
      <c r="B611" s="1811">
        <v>84</v>
      </c>
      <c r="C611" s="1728" t="s">
        <v>3758</v>
      </c>
      <c r="D611" s="1529" t="s">
        <v>3677</v>
      </c>
      <c r="E611" s="1529" t="s">
        <v>435</v>
      </c>
      <c r="F611" s="1531">
        <v>8</v>
      </c>
      <c r="G611" s="1531">
        <v>512600</v>
      </c>
      <c r="H611" s="1531">
        <v>4100800</v>
      </c>
      <c r="I611" s="1704">
        <v>8</v>
      </c>
      <c r="J611" s="1704">
        <v>513000</v>
      </c>
      <c r="K611" s="1560">
        <f t="shared" si="42"/>
        <v>4104000</v>
      </c>
      <c r="L611" s="1600">
        <f t="shared" si="41"/>
        <v>400</v>
      </c>
      <c r="M611" s="1598" t="s">
        <v>3664</v>
      </c>
      <c r="N611" s="1598" t="s">
        <v>3653</v>
      </c>
    </row>
    <row r="612" spans="1:14">
      <c r="A612" s="1488">
        <v>501</v>
      </c>
      <c r="B612" s="1811">
        <v>85</v>
      </c>
      <c r="C612" s="1728" t="s">
        <v>3759</v>
      </c>
      <c r="D612" s="1529" t="s">
        <v>3677</v>
      </c>
      <c r="E612" s="1529" t="s">
        <v>435</v>
      </c>
      <c r="F612" s="1531">
        <v>8</v>
      </c>
      <c r="G612" s="1531">
        <v>512600</v>
      </c>
      <c r="H612" s="1531">
        <v>4100800</v>
      </c>
      <c r="I612" s="1704">
        <v>8</v>
      </c>
      <c r="J612" s="1704">
        <v>513000</v>
      </c>
      <c r="K612" s="1560">
        <f t="shared" si="42"/>
        <v>4104000</v>
      </c>
      <c r="L612" s="1600">
        <f t="shared" si="41"/>
        <v>400</v>
      </c>
      <c r="M612" s="1598" t="s">
        <v>3664</v>
      </c>
      <c r="N612" s="1598" t="s">
        <v>3653</v>
      </c>
    </row>
    <row r="613" spans="1:14">
      <c r="A613" s="1488">
        <v>502</v>
      </c>
      <c r="B613" s="1811">
        <v>86</v>
      </c>
      <c r="C613" s="1728" t="s">
        <v>3760</v>
      </c>
      <c r="D613" s="1529" t="s">
        <v>3677</v>
      </c>
      <c r="E613" s="1529" t="s">
        <v>435</v>
      </c>
      <c r="F613" s="1531">
        <v>8</v>
      </c>
      <c r="G613" s="1531">
        <v>512600</v>
      </c>
      <c r="H613" s="1531">
        <v>4100800</v>
      </c>
      <c r="I613" s="1704">
        <v>8</v>
      </c>
      <c r="J613" s="1704">
        <v>513000</v>
      </c>
      <c r="K613" s="1560">
        <f t="shared" si="42"/>
        <v>4104000</v>
      </c>
      <c r="L613" s="1600">
        <f t="shared" si="41"/>
        <v>400</v>
      </c>
      <c r="M613" s="1598" t="s">
        <v>3664</v>
      </c>
      <c r="N613" s="1598" t="s">
        <v>3653</v>
      </c>
    </row>
    <row r="614" spans="1:14">
      <c r="A614" s="1488">
        <v>503</v>
      </c>
      <c r="B614" s="1811">
        <v>87</v>
      </c>
      <c r="C614" s="1728" t="s">
        <v>3761</v>
      </c>
      <c r="D614" s="1529" t="s">
        <v>3677</v>
      </c>
      <c r="E614" s="1529" t="s">
        <v>435</v>
      </c>
      <c r="F614" s="1531">
        <v>8</v>
      </c>
      <c r="G614" s="1531">
        <v>512600</v>
      </c>
      <c r="H614" s="1531">
        <v>4100800</v>
      </c>
      <c r="I614" s="1704">
        <v>8</v>
      </c>
      <c r="J614" s="1704">
        <v>513000</v>
      </c>
      <c r="K614" s="1560">
        <f t="shared" si="42"/>
        <v>4104000</v>
      </c>
      <c r="L614" s="1600">
        <f t="shared" si="41"/>
        <v>400</v>
      </c>
      <c r="M614" s="1598" t="s">
        <v>3664</v>
      </c>
      <c r="N614" s="1598" t="s">
        <v>3653</v>
      </c>
    </row>
    <row r="615" spans="1:14">
      <c r="A615" s="1488">
        <v>504</v>
      </c>
      <c r="B615" s="1811">
        <v>88</v>
      </c>
      <c r="C615" s="1728" t="s">
        <v>3762</v>
      </c>
      <c r="D615" s="1529" t="s">
        <v>3677</v>
      </c>
      <c r="E615" s="1529" t="s">
        <v>435</v>
      </c>
      <c r="F615" s="1531">
        <v>8</v>
      </c>
      <c r="G615" s="1531">
        <v>512600</v>
      </c>
      <c r="H615" s="1531">
        <v>4100800</v>
      </c>
      <c r="I615" s="1704">
        <v>8</v>
      </c>
      <c r="J615" s="1704">
        <v>513000</v>
      </c>
      <c r="K615" s="1560">
        <f t="shared" si="42"/>
        <v>4104000</v>
      </c>
      <c r="L615" s="1600">
        <f t="shared" si="41"/>
        <v>400</v>
      </c>
      <c r="M615" s="1598" t="s">
        <v>3664</v>
      </c>
      <c r="N615" s="1598" t="s">
        <v>3653</v>
      </c>
    </row>
    <row r="616" spans="1:14">
      <c r="A616" s="1488">
        <v>505</v>
      </c>
      <c r="B616" s="1811">
        <v>89</v>
      </c>
      <c r="C616" s="1728" t="s">
        <v>3763</v>
      </c>
      <c r="D616" s="1529" t="s">
        <v>3677</v>
      </c>
      <c r="E616" s="1529" t="s">
        <v>435</v>
      </c>
      <c r="F616" s="1531">
        <v>4</v>
      </c>
      <c r="G616" s="1531">
        <v>512600</v>
      </c>
      <c r="H616" s="1531">
        <v>2050400</v>
      </c>
      <c r="I616" s="1704">
        <v>4</v>
      </c>
      <c r="J616" s="1704">
        <v>513000</v>
      </c>
      <c r="K616" s="1560">
        <f t="shared" si="42"/>
        <v>2052000</v>
      </c>
      <c r="L616" s="1600">
        <f t="shared" si="41"/>
        <v>400</v>
      </c>
      <c r="M616" s="1598" t="s">
        <v>3664</v>
      </c>
      <c r="N616" s="1598" t="s">
        <v>3653</v>
      </c>
    </row>
    <row r="617" spans="1:14">
      <c r="A617" s="1488">
        <v>506</v>
      </c>
      <c r="B617" s="1811">
        <v>90</v>
      </c>
      <c r="C617" s="1728" t="s">
        <v>3764</v>
      </c>
      <c r="D617" s="1529" t="s">
        <v>3677</v>
      </c>
      <c r="E617" s="1529" t="s">
        <v>435</v>
      </c>
      <c r="F617" s="1531">
        <v>8</v>
      </c>
      <c r="G617" s="1531">
        <v>512600</v>
      </c>
      <c r="H617" s="1531">
        <v>4100800</v>
      </c>
      <c r="I617" s="1704">
        <v>8</v>
      </c>
      <c r="J617" s="1704">
        <v>513000</v>
      </c>
      <c r="K617" s="1560">
        <f t="shared" si="42"/>
        <v>4104000</v>
      </c>
      <c r="L617" s="1600">
        <f t="shared" si="41"/>
        <v>400</v>
      </c>
      <c r="M617" s="1598" t="s">
        <v>3664</v>
      </c>
      <c r="N617" s="1598" t="s">
        <v>3653</v>
      </c>
    </row>
    <row r="618" spans="1:14">
      <c r="A618" s="1488">
        <v>507</v>
      </c>
      <c r="B618" s="1811">
        <v>91</v>
      </c>
      <c r="C618" s="1728" t="s">
        <v>3759</v>
      </c>
      <c r="D618" s="1529" t="s">
        <v>3683</v>
      </c>
      <c r="E618" s="1529" t="s">
        <v>435</v>
      </c>
      <c r="F618" s="1531">
        <v>8</v>
      </c>
      <c r="G618" s="1531">
        <v>512600</v>
      </c>
      <c r="H618" s="1531">
        <v>4100800</v>
      </c>
      <c r="I618" s="1704">
        <v>8</v>
      </c>
      <c r="J618" s="1704">
        <v>513000</v>
      </c>
      <c r="K618" s="1560">
        <f t="shared" si="42"/>
        <v>4104000</v>
      </c>
      <c r="L618" s="1600">
        <f t="shared" si="41"/>
        <v>400</v>
      </c>
      <c r="M618" s="1598" t="s">
        <v>3664</v>
      </c>
      <c r="N618" s="1598" t="s">
        <v>3653</v>
      </c>
    </row>
    <row r="619" spans="1:14">
      <c r="A619" s="1488">
        <v>508</v>
      </c>
      <c r="B619" s="1811">
        <v>92</v>
      </c>
      <c r="C619" s="1728" t="s">
        <v>3765</v>
      </c>
      <c r="D619" s="1529" t="s">
        <v>3766</v>
      </c>
      <c r="E619" s="1529" t="s">
        <v>435</v>
      </c>
      <c r="F619" s="1531">
        <v>2</v>
      </c>
      <c r="G619" s="1531">
        <v>1746800</v>
      </c>
      <c r="H619" s="1531">
        <v>3493600</v>
      </c>
      <c r="I619" s="1704">
        <v>2</v>
      </c>
      <c r="J619" s="1704">
        <v>1750000</v>
      </c>
      <c r="K619" s="1560">
        <f t="shared" si="42"/>
        <v>3500000</v>
      </c>
      <c r="L619" s="1600">
        <f t="shared" si="41"/>
        <v>3200</v>
      </c>
      <c r="M619" s="1598" t="s">
        <v>3664</v>
      </c>
      <c r="N619" s="1598" t="s">
        <v>3653</v>
      </c>
    </row>
    <row r="620" spans="1:14">
      <c r="A620" s="1488">
        <v>509</v>
      </c>
      <c r="B620" s="1811">
        <v>93</v>
      </c>
      <c r="C620" s="1728" t="s">
        <v>3767</v>
      </c>
      <c r="D620" s="1529" t="s">
        <v>3766</v>
      </c>
      <c r="E620" s="1529" t="s">
        <v>435</v>
      </c>
      <c r="F620" s="1531">
        <v>2</v>
      </c>
      <c r="G620" s="1531">
        <v>1746800</v>
      </c>
      <c r="H620" s="1531">
        <v>3493600</v>
      </c>
      <c r="I620" s="1704">
        <v>2</v>
      </c>
      <c r="J620" s="1704">
        <v>1750000</v>
      </c>
      <c r="K620" s="1560">
        <f t="shared" si="42"/>
        <v>3500000</v>
      </c>
      <c r="L620" s="1600">
        <f t="shared" si="41"/>
        <v>3200</v>
      </c>
      <c r="M620" s="1598" t="s">
        <v>3664</v>
      </c>
      <c r="N620" s="1598" t="s">
        <v>3653</v>
      </c>
    </row>
    <row r="621" spans="1:14">
      <c r="A621" s="1488">
        <v>510</v>
      </c>
      <c r="B621" s="1811">
        <v>94</v>
      </c>
      <c r="C621" s="1728" t="s">
        <v>3768</v>
      </c>
      <c r="D621" s="1529" t="s">
        <v>3766</v>
      </c>
      <c r="E621" s="1529" t="s">
        <v>435</v>
      </c>
      <c r="F621" s="1531">
        <v>2</v>
      </c>
      <c r="G621" s="1531">
        <v>1746800</v>
      </c>
      <c r="H621" s="1531">
        <v>3493600</v>
      </c>
      <c r="I621" s="1704">
        <v>2</v>
      </c>
      <c r="J621" s="1704">
        <v>1750000</v>
      </c>
      <c r="K621" s="1560">
        <f t="shared" si="42"/>
        <v>3500000</v>
      </c>
      <c r="L621" s="1600">
        <f t="shared" si="41"/>
        <v>3200</v>
      </c>
      <c r="M621" s="1598" t="s">
        <v>3664</v>
      </c>
      <c r="N621" s="1598" t="s">
        <v>3653</v>
      </c>
    </row>
    <row r="622" spans="1:14">
      <c r="A622" s="1488">
        <v>511</v>
      </c>
      <c r="B622" s="1811">
        <v>95</v>
      </c>
      <c r="C622" s="1728" t="s">
        <v>3769</v>
      </c>
      <c r="D622" s="1529" t="s">
        <v>3766</v>
      </c>
      <c r="E622" s="1529"/>
      <c r="F622" s="1531">
        <v>2</v>
      </c>
      <c r="G622" s="1531">
        <v>1746800</v>
      </c>
      <c r="H622" s="1531">
        <v>3493600</v>
      </c>
      <c r="I622" s="1704">
        <v>2</v>
      </c>
      <c r="J622" s="1704">
        <v>1750000</v>
      </c>
      <c r="K622" s="1560">
        <f t="shared" si="42"/>
        <v>3500000</v>
      </c>
      <c r="L622" s="1600">
        <f t="shared" si="41"/>
        <v>3200</v>
      </c>
      <c r="M622" s="1598" t="s">
        <v>3664</v>
      </c>
      <c r="N622" s="1598" t="s">
        <v>3653</v>
      </c>
    </row>
    <row r="623" spans="1:14">
      <c r="A623" s="1488">
        <v>512</v>
      </c>
      <c r="B623" s="1811">
        <v>96</v>
      </c>
      <c r="C623" s="1728" t="s">
        <v>3770</v>
      </c>
      <c r="D623" s="1529" t="s">
        <v>3663</v>
      </c>
      <c r="E623" s="1529" t="s">
        <v>435</v>
      </c>
      <c r="F623" s="1531">
        <v>3</v>
      </c>
      <c r="G623" s="1531">
        <v>9102500</v>
      </c>
      <c r="H623" s="1531">
        <v>27307500</v>
      </c>
      <c r="I623" s="1704">
        <v>3</v>
      </c>
      <c r="J623" s="1704">
        <v>9103000</v>
      </c>
      <c r="K623" s="1560">
        <f t="shared" si="42"/>
        <v>27309000</v>
      </c>
      <c r="L623" s="1600">
        <f t="shared" si="41"/>
        <v>500</v>
      </c>
      <c r="M623" s="1598" t="s">
        <v>3755</v>
      </c>
      <c r="N623" s="1598" t="s">
        <v>3653</v>
      </c>
    </row>
    <row r="624" spans="1:14" ht="18">
      <c r="A624" s="1488">
        <v>513</v>
      </c>
      <c r="B624" s="1811">
        <v>97</v>
      </c>
      <c r="C624" s="1728" t="s">
        <v>3771</v>
      </c>
      <c r="D624" s="1529" t="s">
        <v>3772</v>
      </c>
      <c r="E624" s="1529" t="s">
        <v>435</v>
      </c>
      <c r="F624" s="1531">
        <v>3</v>
      </c>
      <c r="G624" s="1531">
        <v>6596700</v>
      </c>
      <c r="H624" s="1531">
        <v>19790100</v>
      </c>
      <c r="I624" s="1704">
        <v>3</v>
      </c>
      <c r="J624" s="1704">
        <v>6597000</v>
      </c>
      <c r="K624" s="1560">
        <f t="shared" si="42"/>
        <v>19791000</v>
      </c>
      <c r="L624" s="1600">
        <f t="shared" si="41"/>
        <v>300</v>
      </c>
      <c r="M624" s="1598" t="s">
        <v>3755</v>
      </c>
      <c r="N624" s="1598" t="s">
        <v>3653</v>
      </c>
    </row>
    <row r="625" spans="1:14">
      <c r="A625" s="1488">
        <v>514</v>
      </c>
      <c r="B625" s="1811">
        <v>98</v>
      </c>
      <c r="C625" s="1728" t="s">
        <v>3773</v>
      </c>
      <c r="D625" s="1529" t="s">
        <v>3774</v>
      </c>
      <c r="E625" s="1529" t="s">
        <v>435</v>
      </c>
      <c r="F625" s="1531">
        <v>6</v>
      </c>
      <c r="G625" s="1531">
        <v>3649800</v>
      </c>
      <c r="H625" s="1531">
        <v>21898800</v>
      </c>
      <c r="I625" s="1704">
        <v>6</v>
      </c>
      <c r="J625" s="1704">
        <v>3650000</v>
      </c>
      <c r="K625" s="1560">
        <f t="shared" si="42"/>
        <v>21900000</v>
      </c>
      <c r="L625" s="1600">
        <f t="shared" si="41"/>
        <v>200</v>
      </c>
      <c r="M625" s="1598" t="s">
        <v>3652</v>
      </c>
      <c r="N625" s="1598" t="s">
        <v>3653</v>
      </c>
    </row>
    <row r="626" spans="1:14">
      <c r="A626" s="1488">
        <v>515</v>
      </c>
      <c r="B626" s="1811">
        <v>99</v>
      </c>
      <c r="C626" s="1728" t="s">
        <v>3775</v>
      </c>
      <c r="D626" s="1529" t="s">
        <v>3776</v>
      </c>
      <c r="E626" s="1529" t="s">
        <v>435</v>
      </c>
      <c r="F626" s="1531">
        <v>6</v>
      </c>
      <c r="G626" s="1531">
        <v>6898500</v>
      </c>
      <c r="H626" s="1531">
        <v>41391000</v>
      </c>
      <c r="I626" s="1704">
        <v>6</v>
      </c>
      <c r="J626" s="1704">
        <v>6900000</v>
      </c>
      <c r="K626" s="1560">
        <f t="shared" si="42"/>
        <v>41400000</v>
      </c>
      <c r="L626" s="1600">
        <f t="shared" si="41"/>
        <v>1500</v>
      </c>
      <c r="M626" s="1598" t="s">
        <v>3652</v>
      </c>
      <c r="N626" s="1598" t="s">
        <v>3653</v>
      </c>
    </row>
    <row r="627" spans="1:14">
      <c r="A627" s="1488">
        <v>516</v>
      </c>
      <c r="B627" s="1811">
        <v>100</v>
      </c>
      <c r="C627" s="1728" t="s">
        <v>3777</v>
      </c>
      <c r="D627" s="1529" t="s">
        <v>3774</v>
      </c>
      <c r="E627" s="1529" t="s">
        <v>435</v>
      </c>
      <c r="F627" s="1531">
        <v>6</v>
      </c>
      <c r="G627" s="1531">
        <v>4370100</v>
      </c>
      <c r="H627" s="1531">
        <v>26220600</v>
      </c>
      <c r="I627" s="1704">
        <v>6</v>
      </c>
      <c r="J627" s="1704">
        <v>4372000</v>
      </c>
      <c r="K627" s="1560">
        <f t="shared" si="42"/>
        <v>26232000</v>
      </c>
      <c r="L627" s="1600">
        <f t="shared" si="41"/>
        <v>1900</v>
      </c>
      <c r="M627" s="1598" t="s">
        <v>3652</v>
      </c>
      <c r="N627" s="1598" t="s">
        <v>3653</v>
      </c>
    </row>
    <row r="628" spans="1:14">
      <c r="A628" s="1488">
        <v>517</v>
      </c>
      <c r="B628" s="1811">
        <v>101</v>
      </c>
      <c r="C628" s="1728" t="s">
        <v>3778</v>
      </c>
      <c r="D628" s="1529" t="s">
        <v>3774</v>
      </c>
      <c r="E628" s="1529" t="s">
        <v>435</v>
      </c>
      <c r="F628" s="1531">
        <v>6</v>
      </c>
      <c r="G628" s="1531">
        <v>4370100</v>
      </c>
      <c r="H628" s="1531">
        <v>26220600</v>
      </c>
      <c r="I628" s="1704">
        <v>6</v>
      </c>
      <c r="J628" s="1704">
        <v>4372000</v>
      </c>
      <c r="K628" s="1560">
        <f t="shared" si="42"/>
        <v>26232000</v>
      </c>
      <c r="L628" s="1600">
        <f t="shared" si="41"/>
        <v>1900</v>
      </c>
      <c r="M628" s="1598" t="s">
        <v>3652</v>
      </c>
      <c r="N628" s="1598" t="s">
        <v>3653</v>
      </c>
    </row>
    <row r="629" spans="1:14">
      <c r="A629" s="1488">
        <v>518</v>
      </c>
      <c r="B629" s="1811">
        <v>102</v>
      </c>
      <c r="C629" s="1728" t="s">
        <v>3779</v>
      </c>
      <c r="D629" s="1529" t="s">
        <v>3774</v>
      </c>
      <c r="E629" s="1529" t="s">
        <v>435</v>
      </c>
      <c r="F629" s="1531">
        <v>6</v>
      </c>
      <c r="G629" s="1531">
        <v>6148800</v>
      </c>
      <c r="H629" s="1531">
        <v>36892800</v>
      </c>
      <c r="I629" s="1704">
        <v>6</v>
      </c>
      <c r="J629" s="1704">
        <v>6150000</v>
      </c>
      <c r="K629" s="1560">
        <f t="shared" si="42"/>
        <v>36900000</v>
      </c>
      <c r="L629" s="1600">
        <f t="shared" si="41"/>
        <v>1200</v>
      </c>
      <c r="M629" s="1598" t="s">
        <v>3652</v>
      </c>
      <c r="N629" s="1598" t="s">
        <v>3653</v>
      </c>
    </row>
    <row r="630" spans="1:14">
      <c r="A630" s="1488">
        <v>519</v>
      </c>
      <c r="B630" s="1811">
        <v>103</v>
      </c>
      <c r="C630" s="1728" t="s">
        <v>3780</v>
      </c>
      <c r="D630" s="1529" t="s">
        <v>3776</v>
      </c>
      <c r="E630" s="1529" t="s">
        <v>435</v>
      </c>
      <c r="F630" s="1531">
        <v>6</v>
      </c>
      <c r="G630" s="1531">
        <v>8463000</v>
      </c>
      <c r="H630" s="1531">
        <v>50778000</v>
      </c>
      <c r="I630" s="1704">
        <v>6</v>
      </c>
      <c r="J630" s="1704">
        <v>8463000</v>
      </c>
      <c r="K630" s="1560">
        <f t="shared" si="42"/>
        <v>50778000</v>
      </c>
      <c r="L630" s="1600">
        <f t="shared" si="41"/>
        <v>0</v>
      </c>
      <c r="M630" s="1598" t="s">
        <v>3652</v>
      </c>
      <c r="N630" s="1598" t="s">
        <v>3653</v>
      </c>
    </row>
    <row r="631" spans="1:14">
      <c r="A631" s="1488">
        <v>520</v>
      </c>
      <c r="B631" s="1811">
        <v>104</v>
      </c>
      <c r="C631" s="1728" t="s">
        <v>3781</v>
      </c>
      <c r="D631" s="1529" t="s">
        <v>3776</v>
      </c>
      <c r="E631" s="1529" t="s">
        <v>435</v>
      </c>
      <c r="F631" s="1531">
        <v>6</v>
      </c>
      <c r="G631" s="1531">
        <v>5431650</v>
      </c>
      <c r="H631" s="1531">
        <v>32589900</v>
      </c>
      <c r="I631" s="1704">
        <v>6</v>
      </c>
      <c r="J631" s="1704">
        <v>5432000</v>
      </c>
      <c r="K631" s="1560">
        <f t="shared" si="42"/>
        <v>32592000</v>
      </c>
      <c r="L631" s="1600">
        <f t="shared" si="41"/>
        <v>350</v>
      </c>
      <c r="M631" s="1598" t="s">
        <v>3652</v>
      </c>
      <c r="N631" s="1598" t="s">
        <v>3653</v>
      </c>
    </row>
    <row r="632" spans="1:14">
      <c r="A632" s="1488">
        <v>521</v>
      </c>
      <c r="B632" s="1811">
        <v>105</v>
      </c>
      <c r="C632" s="1728" t="s">
        <v>3782</v>
      </c>
      <c r="D632" s="1529" t="s">
        <v>3776</v>
      </c>
      <c r="E632" s="1529" t="s">
        <v>435</v>
      </c>
      <c r="F632" s="1531">
        <v>6</v>
      </c>
      <c r="G632" s="1531">
        <v>5431650</v>
      </c>
      <c r="H632" s="1531">
        <v>32589900</v>
      </c>
      <c r="I632" s="1704">
        <v>6</v>
      </c>
      <c r="J632" s="1704">
        <v>5432000</v>
      </c>
      <c r="K632" s="1560">
        <f t="shared" si="42"/>
        <v>32592000</v>
      </c>
      <c r="L632" s="1600">
        <f t="shared" si="41"/>
        <v>350</v>
      </c>
      <c r="M632" s="1598" t="s">
        <v>3652</v>
      </c>
      <c r="N632" s="1598" t="s">
        <v>3653</v>
      </c>
    </row>
    <row r="633" spans="1:14">
      <c r="A633" s="1488">
        <v>522</v>
      </c>
      <c r="B633" s="1811">
        <v>106</v>
      </c>
      <c r="C633" s="1728" t="s">
        <v>3783</v>
      </c>
      <c r="D633" s="1529" t="s">
        <v>3774</v>
      </c>
      <c r="E633" s="1529" t="s">
        <v>435</v>
      </c>
      <c r="F633" s="1531">
        <v>6</v>
      </c>
      <c r="G633" s="1531">
        <v>3097500</v>
      </c>
      <c r="H633" s="1531">
        <v>18585000</v>
      </c>
      <c r="I633" s="1704">
        <v>6</v>
      </c>
      <c r="J633" s="1704">
        <v>3099000</v>
      </c>
      <c r="K633" s="1560">
        <f t="shared" si="42"/>
        <v>18594000</v>
      </c>
      <c r="L633" s="1600">
        <f t="shared" si="41"/>
        <v>1500</v>
      </c>
      <c r="M633" s="1598" t="s">
        <v>3652</v>
      </c>
      <c r="N633" s="1598" t="s">
        <v>3653</v>
      </c>
    </row>
    <row r="634" spans="1:14">
      <c r="A634" s="1488">
        <v>523</v>
      </c>
      <c r="B634" s="1811">
        <v>107</v>
      </c>
      <c r="C634" s="1728" t="s">
        <v>3784</v>
      </c>
      <c r="D634" s="1529" t="s">
        <v>3776</v>
      </c>
      <c r="E634" s="1529" t="s">
        <v>435</v>
      </c>
      <c r="F634" s="1531">
        <v>6</v>
      </c>
      <c r="G634" s="1531">
        <v>9274650</v>
      </c>
      <c r="H634" s="1531">
        <v>55647900</v>
      </c>
      <c r="I634" s="1704">
        <v>6</v>
      </c>
      <c r="J634" s="1704">
        <v>9275000</v>
      </c>
      <c r="K634" s="1560">
        <f t="shared" si="42"/>
        <v>55650000</v>
      </c>
      <c r="L634" s="1600">
        <f t="shared" si="41"/>
        <v>350</v>
      </c>
      <c r="M634" s="1598" t="s">
        <v>3652</v>
      </c>
      <c r="N634" s="1598" t="s">
        <v>3653</v>
      </c>
    </row>
    <row r="635" spans="1:14">
      <c r="A635" s="1488">
        <v>524</v>
      </c>
      <c r="B635" s="1811">
        <v>108</v>
      </c>
      <c r="C635" s="1728" t="s">
        <v>3785</v>
      </c>
      <c r="D635" s="1529" t="s">
        <v>3774</v>
      </c>
      <c r="E635" s="1529" t="s">
        <v>435</v>
      </c>
      <c r="F635" s="1531">
        <v>6</v>
      </c>
      <c r="G635" s="1531">
        <v>5932500</v>
      </c>
      <c r="H635" s="1531">
        <v>35595000</v>
      </c>
      <c r="I635" s="1704">
        <v>6</v>
      </c>
      <c r="J635" s="1704">
        <v>5933000</v>
      </c>
      <c r="K635" s="1560">
        <f t="shared" si="42"/>
        <v>35598000</v>
      </c>
      <c r="L635" s="1600">
        <f t="shared" si="41"/>
        <v>500</v>
      </c>
      <c r="M635" s="1598" t="s">
        <v>3652</v>
      </c>
      <c r="N635" s="1598" t="s">
        <v>3653</v>
      </c>
    </row>
    <row r="636" spans="1:14">
      <c r="A636" s="1488">
        <v>525</v>
      </c>
      <c r="B636" s="1811">
        <v>109</v>
      </c>
      <c r="C636" s="1728" t="s">
        <v>3786</v>
      </c>
      <c r="D636" s="1529" t="s">
        <v>3776</v>
      </c>
      <c r="E636" s="1529" t="s">
        <v>435</v>
      </c>
      <c r="F636" s="1531">
        <v>6</v>
      </c>
      <c r="G636" s="1531">
        <v>7729050</v>
      </c>
      <c r="H636" s="1531">
        <v>46374300</v>
      </c>
      <c r="I636" s="1704">
        <v>6</v>
      </c>
      <c r="J636" s="1704">
        <v>7730000</v>
      </c>
      <c r="K636" s="1560">
        <f t="shared" si="42"/>
        <v>46380000</v>
      </c>
      <c r="L636" s="1600">
        <f t="shared" si="41"/>
        <v>950</v>
      </c>
      <c r="M636" s="1598" t="s">
        <v>3652</v>
      </c>
      <c r="N636" s="1598" t="s">
        <v>3653</v>
      </c>
    </row>
    <row r="637" spans="1:14">
      <c r="A637" s="1488">
        <v>526</v>
      </c>
      <c r="B637" s="1811">
        <v>110</v>
      </c>
      <c r="C637" s="1728" t="s">
        <v>3787</v>
      </c>
      <c r="D637" s="1529" t="s">
        <v>3776</v>
      </c>
      <c r="E637" s="1529" t="s">
        <v>435</v>
      </c>
      <c r="F637" s="1531">
        <v>6</v>
      </c>
      <c r="G637" s="1531">
        <v>6098400</v>
      </c>
      <c r="H637" s="1531">
        <v>36590400</v>
      </c>
      <c r="I637" s="1704">
        <v>6</v>
      </c>
      <c r="J637" s="1704">
        <v>6100000</v>
      </c>
      <c r="K637" s="1560">
        <f t="shared" si="42"/>
        <v>36600000</v>
      </c>
      <c r="L637" s="1600">
        <f t="shared" si="41"/>
        <v>1600</v>
      </c>
      <c r="M637" s="1598" t="s">
        <v>3652</v>
      </c>
      <c r="N637" s="1598" t="s">
        <v>3653</v>
      </c>
    </row>
    <row r="638" spans="1:14">
      <c r="A638" s="1488">
        <v>527</v>
      </c>
      <c r="B638" s="1811">
        <v>111</v>
      </c>
      <c r="C638" s="1728" t="s">
        <v>3788</v>
      </c>
      <c r="D638" s="1529" t="s">
        <v>3774</v>
      </c>
      <c r="E638" s="1529" t="s">
        <v>435</v>
      </c>
      <c r="F638" s="1531">
        <v>6</v>
      </c>
      <c r="G638" s="1531">
        <v>3280200</v>
      </c>
      <c r="H638" s="1531">
        <v>19681200</v>
      </c>
      <c r="I638" s="1704">
        <v>6</v>
      </c>
      <c r="J638" s="1704">
        <v>3290000</v>
      </c>
      <c r="K638" s="1560">
        <f t="shared" si="42"/>
        <v>19740000</v>
      </c>
      <c r="L638" s="1600">
        <f t="shared" si="41"/>
        <v>9800</v>
      </c>
      <c r="M638" s="1598" t="s">
        <v>3652</v>
      </c>
      <c r="N638" s="1598" t="s">
        <v>3653</v>
      </c>
    </row>
    <row r="639" spans="1:14">
      <c r="A639" s="1488">
        <v>528</v>
      </c>
      <c r="B639" s="1811">
        <v>112</v>
      </c>
      <c r="C639" s="1728" t="s">
        <v>3789</v>
      </c>
      <c r="D639" s="1529" t="s">
        <v>3774</v>
      </c>
      <c r="E639" s="1529" t="s">
        <v>435</v>
      </c>
      <c r="F639" s="1531">
        <v>6</v>
      </c>
      <c r="G639" s="1531">
        <v>5723550</v>
      </c>
      <c r="H639" s="1531">
        <v>34341300</v>
      </c>
      <c r="I639" s="1704">
        <v>6</v>
      </c>
      <c r="J639" s="1704">
        <v>5730000</v>
      </c>
      <c r="K639" s="1560">
        <f t="shared" si="42"/>
        <v>34380000</v>
      </c>
      <c r="L639" s="1600">
        <f t="shared" si="41"/>
        <v>6450</v>
      </c>
      <c r="M639" s="1598" t="s">
        <v>3652</v>
      </c>
      <c r="N639" s="1598" t="s">
        <v>3653</v>
      </c>
    </row>
    <row r="640" spans="1:14">
      <c r="A640" s="1488">
        <v>529</v>
      </c>
      <c r="B640" s="1811">
        <v>113</v>
      </c>
      <c r="C640" s="1728" t="s">
        <v>3790</v>
      </c>
      <c r="D640" s="1529" t="s">
        <v>3776</v>
      </c>
      <c r="E640" s="1529" t="s">
        <v>435</v>
      </c>
      <c r="F640" s="1531">
        <v>6</v>
      </c>
      <c r="G640" s="1531">
        <v>21634200</v>
      </c>
      <c r="H640" s="1531">
        <v>129805200</v>
      </c>
      <c r="I640" s="1704">
        <v>6</v>
      </c>
      <c r="J640" s="1704">
        <v>21634200</v>
      </c>
      <c r="K640" s="1560">
        <f t="shared" si="42"/>
        <v>129805200</v>
      </c>
      <c r="L640" s="1600">
        <f t="shared" si="41"/>
        <v>0</v>
      </c>
      <c r="M640" s="1598" t="s">
        <v>3652</v>
      </c>
      <c r="N640" s="1598" t="s">
        <v>3653</v>
      </c>
    </row>
    <row r="641" spans="1:14">
      <c r="A641" s="1488">
        <v>530</v>
      </c>
      <c r="B641" s="1811">
        <v>114</v>
      </c>
      <c r="C641" s="1728" t="s">
        <v>3791</v>
      </c>
      <c r="D641" s="1529" t="s">
        <v>3724</v>
      </c>
      <c r="E641" s="1529" t="s">
        <v>435</v>
      </c>
      <c r="F641" s="1531">
        <v>6</v>
      </c>
      <c r="G641" s="1531">
        <v>5156800</v>
      </c>
      <c r="H641" s="1531">
        <v>30940800</v>
      </c>
      <c r="I641" s="1704">
        <v>6</v>
      </c>
      <c r="J641" s="1704">
        <v>5157000</v>
      </c>
      <c r="K641" s="1560">
        <f t="shared" si="42"/>
        <v>30942000</v>
      </c>
      <c r="L641" s="1600">
        <f t="shared" si="41"/>
        <v>200</v>
      </c>
      <c r="M641" s="1598" t="s">
        <v>3652</v>
      </c>
      <c r="N641" s="1598" t="s">
        <v>3653</v>
      </c>
    </row>
    <row r="642" spans="1:14">
      <c r="A642" s="1488">
        <v>531</v>
      </c>
      <c r="B642" s="1811">
        <v>115</v>
      </c>
      <c r="C642" s="1728" t="s">
        <v>3792</v>
      </c>
      <c r="D642" s="1529" t="s">
        <v>3724</v>
      </c>
      <c r="E642" s="1529" t="s">
        <v>435</v>
      </c>
      <c r="F642" s="1531">
        <v>6</v>
      </c>
      <c r="G642" s="1531">
        <v>5494500</v>
      </c>
      <c r="H642" s="1531">
        <v>32967000</v>
      </c>
      <c r="I642" s="1704">
        <v>6</v>
      </c>
      <c r="J642" s="1704">
        <v>5495000</v>
      </c>
      <c r="K642" s="1560">
        <f t="shared" si="42"/>
        <v>32970000</v>
      </c>
      <c r="L642" s="1600">
        <f t="shared" si="41"/>
        <v>500</v>
      </c>
      <c r="M642" s="1598" t="s">
        <v>3652</v>
      </c>
      <c r="N642" s="1598" t="s">
        <v>3653</v>
      </c>
    </row>
    <row r="643" spans="1:14">
      <c r="A643" s="1488">
        <v>532</v>
      </c>
      <c r="B643" s="1811">
        <v>116</v>
      </c>
      <c r="C643" s="1728" t="s">
        <v>3793</v>
      </c>
      <c r="D643" s="1529" t="s">
        <v>3724</v>
      </c>
      <c r="E643" s="1529" t="s">
        <v>435</v>
      </c>
      <c r="F643" s="1531">
        <v>6</v>
      </c>
      <c r="G643" s="1531">
        <v>3840100</v>
      </c>
      <c r="H643" s="1531">
        <v>23040600</v>
      </c>
      <c r="I643" s="1704">
        <v>6</v>
      </c>
      <c r="J643" s="1704">
        <v>3841000</v>
      </c>
      <c r="K643" s="1560">
        <f t="shared" si="42"/>
        <v>23046000</v>
      </c>
      <c r="L643" s="1600">
        <f t="shared" si="41"/>
        <v>900</v>
      </c>
      <c r="M643" s="1598" t="s">
        <v>3652</v>
      </c>
      <c r="N643" s="1598" t="s">
        <v>3653</v>
      </c>
    </row>
    <row r="644" spans="1:14">
      <c r="A644" s="1488">
        <v>533</v>
      </c>
      <c r="B644" s="1811">
        <v>117</v>
      </c>
      <c r="C644" s="1728" t="s">
        <v>3794</v>
      </c>
      <c r="D644" s="1529" t="s">
        <v>3724</v>
      </c>
      <c r="E644" s="1529" t="s">
        <v>435</v>
      </c>
      <c r="F644" s="1531">
        <v>6</v>
      </c>
      <c r="G644" s="1531">
        <v>3840100</v>
      </c>
      <c r="H644" s="1531">
        <v>23040600</v>
      </c>
      <c r="I644" s="1704">
        <v>6</v>
      </c>
      <c r="J644" s="1704">
        <v>3841000</v>
      </c>
      <c r="K644" s="1560">
        <f t="shared" si="42"/>
        <v>23046000</v>
      </c>
      <c r="L644" s="1600">
        <f t="shared" si="41"/>
        <v>900</v>
      </c>
      <c r="M644" s="1598" t="s">
        <v>3652</v>
      </c>
      <c r="N644" s="1598" t="s">
        <v>3653</v>
      </c>
    </row>
    <row r="645" spans="1:14">
      <c r="A645" s="1488">
        <v>534</v>
      </c>
      <c r="B645" s="1811">
        <v>118</v>
      </c>
      <c r="C645" s="1728" t="s">
        <v>3732</v>
      </c>
      <c r="D645" s="1529" t="s">
        <v>3724</v>
      </c>
      <c r="E645" s="1529" t="s">
        <v>435</v>
      </c>
      <c r="F645" s="1531">
        <v>6</v>
      </c>
      <c r="G645" s="1531">
        <v>3956700</v>
      </c>
      <c r="H645" s="1531">
        <v>23740200</v>
      </c>
      <c r="I645" s="1704">
        <v>6</v>
      </c>
      <c r="J645" s="1704">
        <v>3957000</v>
      </c>
      <c r="K645" s="1560">
        <f t="shared" si="42"/>
        <v>23742000</v>
      </c>
      <c r="L645" s="1600">
        <f t="shared" si="41"/>
        <v>300</v>
      </c>
      <c r="M645" s="1598" t="s">
        <v>3652</v>
      </c>
      <c r="N645" s="1598" t="s">
        <v>3653</v>
      </c>
    </row>
    <row r="646" spans="1:14">
      <c r="A646" s="1488">
        <v>535</v>
      </c>
      <c r="B646" s="1811">
        <v>119</v>
      </c>
      <c r="C646" s="1728" t="s">
        <v>3795</v>
      </c>
      <c r="D646" s="1529" t="s">
        <v>3724</v>
      </c>
      <c r="E646" s="1529" t="s">
        <v>435</v>
      </c>
      <c r="F646" s="1531">
        <v>6</v>
      </c>
      <c r="G646" s="1531">
        <v>3839000</v>
      </c>
      <c r="H646" s="1531">
        <v>23034000</v>
      </c>
      <c r="I646" s="1704">
        <v>6</v>
      </c>
      <c r="J646" s="1704">
        <v>3841000</v>
      </c>
      <c r="K646" s="1560">
        <f t="shared" si="42"/>
        <v>23046000</v>
      </c>
      <c r="L646" s="1600">
        <f t="shared" si="41"/>
        <v>2000</v>
      </c>
      <c r="M646" s="1598" t="s">
        <v>3652</v>
      </c>
      <c r="N646" s="1598" t="s">
        <v>3653</v>
      </c>
    </row>
    <row r="647" spans="1:14">
      <c r="A647" s="1488">
        <v>536</v>
      </c>
      <c r="B647" s="1811">
        <v>120</v>
      </c>
      <c r="C647" s="1728" t="s">
        <v>3796</v>
      </c>
      <c r="D647" s="1529" t="s">
        <v>3724</v>
      </c>
      <c r="E647" s="1529" t="s">
        <v>435</v>
      </c>
      <c r="F647" s="1531">
        <v>6</v>
      </c>
      <c r="G647" s="1531">
        <v>3839000</v>
      </c>
      <c r="H647" s="1531">
        <v>23034000</v>
      </c>
      <c r="I647" s="1704">
        <v>6</v>
      </c>
      <c r="J647" s="1704">
        <v>3841000</v>
      </c>
      <c r="K647" s="1560">
        <f t="shared" si="42"/>
        <v>23046000</v>
      </c>
      <c r="L647" s="1600">
        <f t="shared" si="41"/>
        <v>2000</v>
      </c>
      <c r="M647" s="1598" t="s">
        <v>3652</v>
      </c>
      <c r="N647" s="1598" t="s">
        <v>3653</v>
      </c>
    </row>
    <row r="648" spans="1:14">
      <c r="A648" s="1488">
        <v>537</v>
      </c>
      <c r="B648" s="1811">
        <v>121</v>
      </c>
      <c r="C648" s="1728" t="s">
        <v>3797</v>
      </c>
      <c r="D648" s="1529" t="s">
        <v>3724</v>
      </c>
      <c r="E648" s="1529" t="s">
        <v>435</v>
      </c>
      <c r="F648" s="1531">
        <v>6</v>
      </c>
      <c r="G648" s="1531">
        <v>5156800</v>
      </c>
      <c r="H648" s="1531">
        <v>30940800</v>
      </c>
      <c r="I648" s="1704">
        <v>6</v>
      </c>
      <c r="J648" s="1704">
        <v>5157000</v>
      </c>
      <c r="K648" s="1560">
        <f t="shared" si="42"/>
        <v>30942000</v>
      </c>
      <c r="L648" s="1600">
        <f t="shared" si="41"/>
        <v>200</v>
      </c>
      <c r="M648" s="1598" t="s">
        <v>3652</v>
      </c>
      <c r="N648" s="1598" t="s">
        <v>3653</v>
      </c>
    </row>
    <row r="649" spans="1:14">
      <c r="A649" s="1488">
        <v>538</v>
      </c>
      <c r="B649" s="1811">
        <v>122</v>
      </c>
      <c r="C649" s="1728" t="s">
        <v>3798</v>
      </c>
      <c r="D649" s="1529" t="s">
        <v>3724</v>
      </c>
      <c r="E649" s="1529" t="s">
        <v>435</v>
      </c>
      <c r="F649" s="1531">
        <v>6</v>
      </c>
      <c r="G649" s="1531">
        <v>3840100</v>
      </c>
      <c r="H649" s="1531">
        <v>23040600</v>
      </c>
      <c r="I649" s="1704">
        <v>6</v>
      </c>
      <c r="J649" s="1704">
        <v>3841000</v>
      </c>
      <c r="K649" s="1560">
        <f t="shared" si="42"/>
        <v>23046000</v>
      </c>
      <c r="L649" s="1600">
        <f t="shared" si="41"/>
        <v>900</v>
      </c>
      <c r="M649" s="1598" t="s">
        <v>3652</v>
      </c>
      <c r="N649" s="1598" t="s">
        <v>3653</v>
      </c>
    </row>
    <row r="650" spans="1:14">
      <c r="A650" s="1488">
        <v>539</v>
      </c>
      <c r="B650" s="1811">
        <v>123</v>
      </c>
      <c r="C650" s="1728" t="s">
        <v>3799</v>
      </c>
      <c r="D650" s="1543" t="s">
        <v>3683</v>
      </c>
      <c r="E650" s="1543" t="s">
        <v>435</v>
      </c>
      <c r="F650" s="1533">
        <v>6</v>
      </c>
      <c r="G650" s="1533">
        <v>512600</v>
      </c>
      <c r="H650" s="1533">
        <v>3075600</v>
      </c>
      <c r="I650" s="1719">
        <v>6</v>
      </c>
      <c r="J650" s="1719">
        <v>513000</v>
      </c>
      <c r="K650" s="1630">
        <f t="shared" si="42"/>
        <v>3078000</v>
      </c>
      <c r="L650" s="1664">
        <f t="shared" si="41"/>
        <v>400</v>
      </c>
      <c r="M650" s="1662" t="s">
        <v>3664</v>
      </c>
      <c r="N650" s="1662" t="s">
        <v>3653</v>
      </c>
    </row>
    <row r="651" spans="1:14">
      <c r="A651" s="1501"/>
      <c r="B651" s="1546"/>
      <c r="C651" s="1861" t="s">
        <v>958</v>
      </c>
      <c r="D651" s="1862"/>
      <c r="E651" s="1862"/>
      <c r="F651" s="1863"/>
      <c r="G651" s="1863"/>
      <c r="H651" s="1864">
        <f>SUM(H528:H650)</f>
        <v>2139875300</v>
      </c>
      <c r="I651" s="1689"/>
      <c r="J651" s="1857"/>
      <c r="K651" s="1864">
        <f>SUM(K528:K650)</f>
        <v>2155849200</v>
      </c>
      <c r="L651" s="1864"/>
      <c r="M651" s="1688"/>
      <c r="N651" s="1511"/>
    </row>
    <row r="652" spans="1:14">
      <c r="C652" s="1465"/>
    </row>
    <row r="653" spans="1:14">
      <c r="C653" s="1465"/>
    </row>
    <row r="654" spans="1:14">
      <c r="A654" s="2196" t="s">
        <v>3800</v>
      </c>
      <c r="B654" s="2196"/>
      <c r="C654" s="2196"/>
      <c r="D654" s="2196"/>
      <c r="E654" s="2196"/>
      <c r="F654" s="2196"/>
      <c r="G654" s="2196"/>
      <c r="H654" s="2196"/>
      <c r="I654" s="2196"/>
      <c r="J654" s="2196"/>
      <c r="K654" s="2196"/>
      <c r="L654" s="1475"/>
    </row>
    <row r="655" spans="1:14">
      <c r="B655" s="1515"/>
      <c r="C655" s="1588"/>
      <c r="D655" s="1515"/>
      <c r="E655" s="1515"/>
      <c r="F655" s="1589"/>
      <c r="G655" s="1589"/>
      <c r="H655" s="1589"/>
    </row>
    <row r="656" spans="1:14" ht="27">
      <c r="A656" s="2197" t="s">
        <v>2901</v>
      </c>
      <c r="B656" s="2199" t="s">
        <v>2902</v>
      </c>
      <c r="C656" s="2201" t="s">
        <v>2607</v>
      </c>
      <c r="D656" s="2203" t="s">
        <v>2608</v>
      </c>
      <c r="E656" s="2199" t="s">
        <v>2609</v>
      </c>
      <c r="F656" s="2205" t="s">
        <v>2903</v>
      </c>
      <c r="G656" s="2206"/>
      <c r="H656" s="2207"/>
      <c r="I656" s="2205" t="s">
        <v>2904</v>
      </c>
      <c r="J656" s="2206"/>
      <c r="K656" s="2207"/>
      <c r="L656" s="1476" t="s">
        <v>2905</v>
      </c>
      <c r="M656" s="2197" t="s">
        <v>2906</v>
      </c>
      <c r="N656" s="2208" t="s">
        <v>2907</v>
      </c>
    </row>
    <row r="657" spans="1:14">
      <c r="A657" s="2198"/>
      <c r="B657" s="2200"/>
      <c r="C657" s="2210"/>
      <c r="D657" s="2211"/>
      <c r="E657" s="2200"/>
      <c r="F657" s="1477" t="s">
        <v>2908</v>
      </c>
      <c r="G657" s="1476" t="s">
        <v>2611</v>
      </c>
      <c r="H657" s="1478" t="s">
        <v>2612</v>
      </c>
      <c r="I657" s="1477" t="s">
        <v>2908</v>
      </c>
      <c r="J657" s="1476" t="s">
        <v>2611</v>
      </c>
      <c r="K657" s="1478" t="s">
        <v>2612</v>
      </c>
      <c r="L657" s="1865"/>
      <c r="M657" s="2198"/>
      <c r="N657" s="2209"/>
    </row>
    <row r="658" spans="1:14">
      <c r="A658" s="1520">
        <v>540</v>
      </c>
      <c r="B658" s="1727">
        <v>1</v>
      </c>
      <c r="C658" s="1866" t="s">
        <v>3801</v>
      </c>
      <c r="D658" s="1593" t="s">
        <v>3802</v>
      </c>
      <c r="E658" s="1866" t="s">
        <v>435</v>
      </c>
      <c r="F658" s="1596">
        <v>30</v>
      </c>
      <c r="G658" s="1596">
        <v>5741500</v>
      </c>
      <c r="H658" s="1596">
        <f>G658*F658</f>
        <v>172245000</v>
      </c>
      <c r="I658" s="1596">
        <v>30</v>
      </c>
      <c r="J658" s="1596">
        <v>5741500</v>
      </c>
      <c r="K658" s="1596">
        <f t="shared" ref="K658:K721" si="43">I658*J658</f>
        <v>172245000</v>
      </c>
      <c r="L658" s="1596">
        <f t="shared" ref="L658:L721" si="44">J658-G658</f>
        <v>0</v>
      </c>
      <c r="M658" s="1866" t="s">
        <v>3803</v>
      </c>
      <c r="N658" s="1866" t="s">
        <v>3804</v>
      </c>
    </row>
    <row r="659" spans="1:14">
      <c r="A659" s="1526">
        <v>541</v>
      </c>
      <c r="B659" s="1731">
        <v>2</v>
      </c>
      <c r="C659" s="1867" t="s">
        <v>3805</v>
      </c>
      <c r="D659" s="1599" t="s">
        <v>3806</v>
      </c>
      <c r="E659" s="1867" t="s">
        <v>435</v>
      </c>
      <c r="F659" s="1562">
        <v>2</v>
      </c>
      <c r="G659" s="1562">
        <v>2405000</v>
      </c>
      <c r="H659" s="1562">
        <f t="shared" ref="H659:H722" si="45">G659*F659</f>
        <v>4810000</v>
      </c>
      <c r="I659" s="1562">
        <v>2</v>
      </c>
      <c r="J659" s="1562">
        <v>2405000</v>
      </c>
      <c r="K659" s="1562">
        <f t="shared" si="43"/>
        <v>4810000</v>
      </c>
      <c r="L659" s="1562">
        <f t="shared" si="44"/>
        <v>0</v>
      </c>
      <c r="M659" s="1867" t="s">
        <v>3803</v>
      </c>
      <c r="N659" s="1867" t="s">
        <v>3804</v>
      </c>
    </row>
    <row r="660" spans="1:14">
      <c r="A660" s="1526">
        <v>542</v>
      </c>
      <c r="B660" s="1731">
        <v>3</v>
      </c>
      <c r="C660" s="1867" t="s">
        <v>3807</v>
      </c>
      <c r="D660" s="1599" t="s">
        <v>3808</v>
      </c>
      <c r="E660" s="1867" t="s">
        <v>435</v>
      </c>
      <c r="F660" s="1562">
        <v>4</v>
      </c>
      <c r="G660" s="1562">
        <v>2450000</v>
      </c>
      <c r="H660" s="1562">
        <f t="shared" si="45"/>
        <v>9800000</v>
      </c>
      <c r="I660" s="1562">
        <v>4</v>
      </c>
      <c r="J660" s="1562">
        <v>2450000</v>
      </c>
      <c r="K660" s="1562">
        <f t="shared" si="43"/>
        <v>9800000</v>
      </c>
      <c r="L660" s="1562">
        <f t="shared" si="44"/>
        <v>0</v>
      </c>
      <c r="M660" s="1867" t="s">
        <v>3803</v>
      </c>
      <c r="N660" s="1867" t="s">
        <v>3804</v>
      </c>
    </row>
    <row r="661" spans="1:14">
      <c r="A661" s="1526">
        <v>543</v>
      </c>
      <c r="B661" s="1731">
        <v>4</v>
      </c>
      <c r="C661" s="1658" t="s">
        <v>3809</v>
      </c>
      <c r="D661" s="1599" t="s">
        <v>3802</v>
      </c>
      <c r="E661" s="1867" t="s">
        <v>435</v>
      </c>
      <c r="F661" s="1562">
        <v>30</v>
      </c>
      <c r="G661" s="1562">
        <v>6250000</v>
      </c>
      <c r="H661" s="1562">
        <f t="shared" si="45"/>
        <v>187500000</v>
      </c>
      <c r="I661" s="1562">
        <v>30</v>
      </c>
      <c r="J661" s="1562">
        <v>6250000</v>
      </c>
      <c r="K661" s="1562">
        <f t="shared" si="43"/>
        <v>187500000</v>
      </c>
      <c r="L661" s="1562">
        <f t="shared" si="44"/>
        <v>0</v>
      </c>
      <c r="M661" s="1867" t="s">
        <v>3803</v>
      </c>
      <c r="N661" s="1867" t="s">
        <v>3804</v>
      </c>
    </row>
    <row r="662" spans="1:14">
      <c r="A662" s="1526">
        <v>544</v>
      </c>
      <c r="B662" s="1731">
        <v>5</v>
      </c>
      <c r="C662" s="1867" t="s">
        <v>3810</v>
      </c>
      <c r="D662" s="1599" t="s">
        <v>3806</v>
      </c>
      <c r="E662" s="1867" t="s">
        <v>435</v>
      </c>
      <c r="F662" s="1562">
        <v>2</v>
      </c>
      <c r="G662" s="1562">
        <v>2405000</v>
      </c>
      <c r="H662" s="1562">
        <f t="shared" si="45"/>
        <v>4810000</v>
      </c>
      <c r="I662" s="1562">
        <v>2</v>
      </c>
      <c r="J662" s="1562">
        <v>2405000</v>
      </c>
      <c r="K662" s="1562">
        <f t="shared" si="43"/>
        <v>4810000</v>
      </c>
      <c r="L662" s="1562">
        <f t="shared" si="44"/>
        <v>0</v>
      </c>
      <c r="M662" s="1867" t="s">
        <v>3803</v>
      </c>
      <c r="N662" s="1867" t="s">
        <v>3804</v>
      </c>
    </row>
    <row r="663" spans="1:14">
      <c r="A663" s="1526">
        <v>545</v>
      </c>
      <c r="B663" s="1731">
        <v>6</v>
      </c>
      <c r="C663" s="1867" t="s">
        <v>3811</v>
      </c>
      <c r="D663" s="1599" t="s">
        <v>3808</v>
      </c>
      <c r="E663" s="1867" t="s">
        <v>435</v>
      </c>
      <c r="F663" s="1562">
        <v>2</v>
      </c>
      <c r="G663" s="1562">
        <v>2450000</v>
      </c>
      <c r="H663" s="1562">
        <f t="shared" si="45"/>
        <v>4900000</v>
      </c>
      <c r="I663" s="1562">
        <v>2</v>
      </c>
      <c r="J663" s="1562">
        <v>2450000</v>
      </c>
      <c r="K663" s="1562">
        <f t="shared" si="43"/>
        <v>4900000</v>
      </c>
      <c r="L663" s="1562">
        <f t="shared" si="44"/>
        <v>0</v>
      </c>
      <c r="M663" s="1867" t="s">
        <v>3803</v>
      </c>
      <c r="N663" s="1867" t="s">
        <v>3804</v>
      </c>
    </row>
    <row r="664" spans="1:14">
      <c r="A664" s="1526">
        <v>546</v>
      </c>
      <c r="B664" s="1731">
        <v>7</v>
      </c>
      <c r="C664" s="1867" t="s">
        <v>3812</v>
      </c>
      <c r="D664" s="1599" t="s">
        <v>3802</v>
      </c>
      <c r="E664" s="1867" t="s">
        <v>435</v>
      </c>
      <c r="F664" s="1562">
        <v>10</v>
      </c>
      <c r="G664" s="1562">
        <v>12620000</v>
      </c>
      <c r="H664" s="1562">
        <f t="shared" si="45"/>
        <v>126200000</v>
      </c>
      <c r="I664" s="1562">
        <v>10</v>
      </c>
      <c r="J664" s="1562">
        <v>12620000</v>
      </c>
      <c r="K664" s="1562">
        <f t="shared" si="43"/>
        <v>126200000</v>
      </c>
      <c r="L664" s="1562">
        <f t="shared" si="44"/>
        <v>0</v>
      </c>
      <c r="M664" s="1867" t="s">
        <v>3803</v>
      </c>
      <c r="N664" s="1867" t="s">
        <v>3804</v>
      </c>
    </row>
    <row r="665" spans="1:14">
      <c r="A665" s="1526">
        <v>547</v>
      </c>
      <c r="B665" s="1731">
        <v>8</v>
      </c>
      <c r="C665" s="1867" t="s">
        <v>3813</v>
      </c>
      <c r="D665" s="1599" t="s">
        <v>3806</v>
      </c>
      <c r="E665" s="1867" t="s">
        <v>435</v>
      </c>
      <c r="F665" s="1562">
        <v>2</v>
      </c>
      <c r="G665" s="1562">
        <v>2405000</v>
      </c>
      <c r="H665" s="1562">
        <f t="shared" si="45"/>
        <v>4810000</v>
      </c>
      <c r="I665" s="1562">
        <v>2</v>
      </c>
      <c r="J665" s="1562">
        <v>2405000</v>
      </c>
      <c r="K665" s="1562">
        <f t="shared" si="43"/>
        <v>4810000</v>
      </c>
      <c r="L665" s="1562">
        <f t="shared" si="44"/>
        <v>0</v>
      </c>
      <c r="M665" s="1867" t="s">
        <v>3803</v>
      </c>
      <c r="N665" s="1867" t="s">
        <v>3804</v>
      </c>
    </row>
    <row r="666" spans="1:14">
      <c r="A666" s="1526">
        <v>548</v>
      </c>
      <c r="B666" s="1731">
        <v>9</v>
      </c>
      <c r="C666" s="1867" t="s">
        <v>3814</v>
      </c>
      <c r="D666" s="1599" t="s">
        <v>3540</v>
      </c>
      <c r="E666" s="1867" t="s">
        <v>435</v>
      </c>
      <c r="F666" s="1562">
        <v>2</v>
      </c>
      <c r="G666" s="1562">
        <v>2450000</v>
      </c>
      <c r="H666" s="1562">
        <f t="shared" si="45"/>
        <v>4900000</v>
      </c>
      <c r="I666" s="1562">
        <v>2</v>
      </c>
      <c r="J666" s="1562">
        <v>2450000</v>
      </c>
      <c r="K666" s="1562">
        <f t="shared" si="43"/>
        <v>4900000</v>
      </c>
      <c r="L666" s="1562">
        <f t="shared" si="44"/>
        <v>0</v>
      </c>
      <c r="M666" s="1867" t="s">
        <v>3803</v>
      </c>
      <c r="N666" s="1867" t="s">
        <v>3804</v>
      </c>
    </row>
    <row r="667" spans="1:14">
      <c r="A667" s="1526">
        <v>549</v>
      </c>
      <c r="B667" s="1731">
        <v>10</v>
      </c>
      <c r="C667" s="1868" t="s">
        <v>3815</v>
      </c>
      <c r="D667" s="1599" t="s">
        <v>3802</v>
      </c>
      <c r="E667" s="1867" t="s">
        <v>435</v>
      </c>
      <c r="F667" s="1562">
        <v>20</v>
      </c>
      <c r="G667" s="1562">
        <v>12620000</v>
      </c>
      <c r="H667" s="1562">
        <f t="shared" si="45"/>
        <v>252400000</v>
      </c>
      <c r="I667" s="1562">
        <v>20</v>
      </c>
      <c r="J667" s="1562">
        <v>12620000</v>
      </c>
      <c r="K667" s="1562">
        <f t="shared" si="43"/>
        <v>252400000</v>
      </c>
      <c r="L667" s="1562">
        <f t="shared" si="44"/>
        <v>0</v>
      </c>
      <c r="M667" s="1867" t="s">
        <v>3803</v>
      </c>
      <c r="N667" s="1867" t="s">
        <v>3804</v>
      </c>
    </row>
    <row r="668" spans="1:14">
      <c r="A668" s="1526">
        <v>550</v>
      </c>
      <c r="B668" s="1731">
        <v>11</v>
      </c>
      <c r="C668" s="1868" t="s">
        <v>3816</v>
      </c>
      <c r="D668" s="1599" t="s">
        <v>3806</v>
      </c>
      <c r="E668" s="1867" t="s">
        <v>435</v>
      </c>
      <c r="F668" s="1562">
        <v>2</v>
      </c>
      <c r="G668" s="1562">
        <v>2405000</v>
      </c>
      <c r="H668" s="1562">
        <f t="shared" si="45"/>
        <v>4810000</v>
      </c>
      <c r="I668" s="1562">
        <v>2</v>
      </c>
      <c r="J668" s="1562">
        <v>2405000</v>
      </c>
      <c r="K668" s="1562">
        <f t="shared" si="43"/>
        <v>4810000</v>
      </c>
      <c r="L668" s="1562">
        <f t="shared" si="44"/>
        <v>0</v>
      </c>
      <c r="M668" s="1867" t="s">
        <v>3803</v>
      </c>
      <c r="N668" s="1867" t="s">
        <v>3804</v>
      </c>
    </row>
    <row r="669" spans="1:14">
      <c r="A669" s="1526">
        <v>551</v>
      </c>
      <c r="B669" s="1731">
        <v>12</v>
      </c>
      <c r="C669" s="1869" t="s">
        <v>3817</v>
      </c>
      <c r="D669" s="1599" t="s">
        <v>3540</v>
      </c>
      <c r="E669" s="1867" t="s">
        <v>435</v>
      </c>
      <c r="F669" s="1562">
        <v>2</v>
      </c>
      <c r="G669" s="1562">
        <v>2450000</v>
      </c>
      <c r="H669" s="1562">
        <f t="shared" si="45"/>
        <v>4900000</v>
      </c>
      <c r="I669" s="1562">
        <v>2</v>
      </c>
      <c r="J669" s="1562">
        <v>2450000</v>
      </c>
      <c r="K669" s="1562">
        <f t="shared" si="43"/>
        <v>4900000</v>
      </c>
      <c r="L669" s="1562">
        <f t="shared" si="44"/>
        <v>0</v>
      </c>
      <c r="M669" s="1867" t="s">
        <v>3803</v>
      </c>
      <c r="N669" s="1867" t="s">
        <v>3804</v>
      </c>
    </row>
    <row r="670" spans="1:14">
      <c r="A670" s="1526">
        <v>552</v>
      </c>
      <c r="B670" s="1731">
        <v>13</v>
      </c>
      <c r="C670" s="1868" t="s">
        <v>3818</v>
      </c>
      <c r="D670" s="1599" t="s">
        <v>3802</v>
      </c>
      <c r="E670" s="1867" t="s">
        <v>435</v>
      </c>
      <c r="F670" s="1562">
        <v>30</v>
      </c>
      <c r="G670" s="1562">
        <v>12620000</v>
      </c>
      <c r="H670" s="1562">
        <f t="shared" si="45"/>
        <v>378600000</v>
      </c>
      <c r="I670" s="1562">
        <v>30</v>
      </c>
      <c r="J670" s="1562">
        <v>12620000</v>
      </c>
      <c r="K670" s="1562">
        <f t="shared" si="43"/>
        <v>378600000</v>
      </c>
      <c r="L670" s="1562">
        <f t="shared" si="44"/>
        <v>0</v>
      </c>
      <c r="M670" s="1867" t="s">
        <v>3803</v>
      </c>
      <c r="N670" s="1867" t="s">
        <v>3804</v>
      </c>
    </row>
    <row r="671" spans="1:14">
      <c r="A671" s="1526">
        <v>553</v>
      </c>
      <c r="B671" s="1731">
        <v>14</v>
      </c>
      <c r="C671" s="1868" t="s">
        <v>3818</v>
      </c>
      <c r="D671" s="1599" t="s">
        <v>3806</v>
      </c>
      <c r="E671" s="1867" t="s">
        <v>435</v>
      </c>
      <c r="F671" s="1562">
        <v>2</v>
      </c>
      <c r="G671" s="1562">
        <v>2405000</v>
      </c>
      <c r="H671" s="1562">
        <f t="shared" si="45"/>
        <v>4810000</v>
      </c>
      <c r="I671" s="1562">
        <v>2</v>
      </c>
      <c r="J671" s="1562">
        <v>2405000</v>
      </c>
      <c r="K671" s="1562">
        <f t="shared" si="43"/>
        <v>4810000</v>
      </c>
      <c r="L671" s="1562">
        <f t="shared" si="44"/>
        <v>0</v>
      </c>
      <c r="M671" s="1867" t="s">
        <v>3803</v>
      </c>
      <c r="N671" s="1867" t="s">
        <v>3804</v>
      </c>
    </row>
    <row r="672" spans="1:14">
      <c r="A672" s="1526">
        <v>554</v>
      </c>
      <c r="B672" s="1731">
        <v>15</v>
      </c>
      <c r="C672" s="1868" t="s">
        <v>3819</v>
      </c>
      <c r="D672" s="1599" t="s">
        <v>3540</v>
      </c>
      <c r="E672" s="1867" t="s">
        <v>435</v>
      </c>
      <c r="F672" s="1562">
        <v>2</v>
      </c>
      <c r="G672" s="1562">
        <v>2450000</v>
      </c>
      <c r="H672" s="1562">
        <f t="shared" si="45"/>
        <v>4900000</v>
      </c>
      <c r="I672" s="1562">
        <v>2</v>
      </c>
      <c r="J672" s="1562">
        <v>2450000</v>
      </c>
      <c r="K672" s="1562">
        <f t="shared" si="43"/>
        <v>4900000</v>
      </c>
      <c r="L672" s="1562">
        <f t="shared" si="44"/>
        <v>0</v>
      </c>
      <c r="M672" s="1867" t="s">
        <v>3803</v>
      </c>
      <c r="N672" s="1867" t="s">
        <v>3804</v>
      </c>
    </row>
    <row r="673" spans="1:14">
      <c r="A673" s="1526">
        <v>555</v>
      </c>
      <c r="B673" s="1731">
        <v>16</v>
      </c>
      <c r="C673" s="1870" t="s">
        <v>3820</v>
      </c>
      <c r="D673" s="1599" t="s">
        <v>3821</v>
      </c>
      <c r="E673" s="1867" t="s">
        <v>435</v>
      </c>
      <c r="F673" s="1562">
        <v>20</v>
      </c>
      <c r="G673" s="1562">
        <v>9301000</v>
      </c>
      <c r="H673" s="1562">
        <f t="shared" si="45"/>
        <v>186020000</v>
      </c>
      <c r="I673" s="1562">
        <v>20</v>
      </c>
      <c r="J673" s="1562">
        <v>9301000</v>
      </c>
      <c r="K673" s="1562">
        <f t="shared" si="43"/>
        <v>186020000</v>
      </c>
      <c r="L673" s="1562">
        <f t="shared" si="44"/>
        <v>0</v>
      </c>
      <c r="M673" s="1867" t="s">
        <v>3803</v>
      </c>
      <c r="N673" s="1867" t="s">
        <v>3804</v>
      </c>
    </row>
    <row r="674" spans="1:14">
      <c r="A674" s="1526">
        <v>556</v>
      </c>
      <c r="B674" s="1731">
        <v>17</v>
      </c>
      <c r="C674" s="1870" t="s">
        <v>3822</v>
      </c>
      <c r="D674" s="1599" t="s">
        <v>3540</v>
      </c>
      <c r="E674" s="1867" t="s">
        <v>435</v>
      </c>
      <c r="F674" s="1562">
        <v>2</v>
      </c>
      <c r="G674" s="1562">
        <v>2450000</v>
      </c>
      <c r="H674" s="1562">
        <f t="shared" si="45"/>
        <v>4900000</v>
      </c>
      <c r="I674" s="1562">
        <v>2</v>
      </c>
      <c r="J674" s="1562">
        <v>2450000</v>
      </c>
      <c r="K674" s="1562">
        <f t="shared" si="43"/>
        <v>4900000</v>
      </c>
      <c r="L674" s="1562">
        <f t="shared" si="44"/>
        <v>0</v>
      </c>
      <c r="M674" s="1867" t="s">
        <v>3803</v>
      </c>
      <c r="N674" s="1867" t="s">
        <v>3804</v>
      </c>
    </row>
    <row r="675" spans="1:14">
      <c r="A675" s="1526">
        <v>557</v>
      </c>
      <c r="B675" s="1731">
        <v>18</v>
      </c>
      <c r="C675" s="1870" t="s">
        <v>3823</v>
      </c>
      <c r="D675" s="1599" t="s">
        <v>3806</v>
      </c>
      <c r="E675" s="1867" t="s">
        <v>435</v>
      </c>
      <c r="F675" s="1562">
        <v>2</v>
      </c>
      <c r="G675" s="1562">
        <v>2405000</v>
      </c>
      <c r="H675" s="1562">
        <f t="shared" si="45"/>
        <v>4810000</v>
      </c>
      <c r="I675" s="1562">
        <v>2</v>
      </c>
      <c r="J675" s="1562">
        <v>2405000</v>
      </c>
      <c r="K675" s="1562">
        <f t="shared" si="43"/>
        <v>4810000</v>
      </c>
      <c r="L675" s="1562">
        <f t="shared" si="44"/>
        <v>0</v>
      </c>
      <c r="M675" s="1867" t="s">
        <v>3803</v>
      </c>
      <c r="N675" s="1867" t="s">
        <v>3804</v>
      </c>
    </row>
    <row r="676" spans="1:14">
      <c r="A676" s="1526">
        <v>558</v>
      </c>
      <c r="B676" s="1731">
        <v>19</v>
      </c>
      <c r="C676" s="1868" t="s">
        <v>3824</v>
      </c>
      <c r="D676" s="1599" t="s">
        <v>3821</v>
      </c>
      <c r="E676" s="1867" t="s">
        <v>435</v>
      </c>
      <c r="F676" s="1562">
        <v>4</v>
      </c>
      <c r="G676" s="1562">
        <v>21620000</v>
      </c>
      <c r="H676" s="1562">
        <f t="shared" si="45"/>
        <v>86480000</v>
      </c>
      <c r="I676" s="1562">
        <v>4</v>
      </c>
      <c r="J676" s="1562">
        <v>21620000</v>
      </c>
      <c r="K676" s="1562">
        <f t="shared" si="43"/>
        <v>86480000</v>
      </c>
      <c r="L676" s="1562">
        <f t="shared" si="44"/>
        <v>0</v>
      </c>
      <c r="M676" s="1867" t="s">
        <v>3803</v>
      </c>
      <c r="N676" s="1867" t="s">
        <v>3804</v>
      </c>
    </row>
    <row r="677" spans="1:14">
      <c r="A677" s="1526">
        <v>559</v>
      </c>
      <c r="B677" s="1731">
        <v>20</v>
      </c>
      <c r="C677" s="1868" t="s">
        <v>3825</v>
      </c>
      <c r="D677" s="1599" t="s">
        <v>3806</v>
      </c>
      <c r="E677" s="1867" t="s">
        <v>435</v>
      </c>
      <c r="F677" s="1562">
        <v>2</v>
      </c>
      <c r="G677" s="1562">
        <v>2405000</v>
      </c>
      <c r="H677" s="1562">
        <f t="shared" si="45"/>
        <v>4810000</v>
      </c>
      <c r="I677" s="1562">
        <v>2</v>
      </c>
      <c r="J677" s="1562">
        <v>2405000</v>
      </c>
      <c r="K677" s="1562">
        <f t="shared" si="43"/>
        <v>4810000</v>
      </c>
      <c r="L677" s="1562">
        <f t="shared" si="44"/>
        <v>0</v>
      </c>
      <c r="M677" s="1867" t="s">
        <v>3803</v>
      </c>
      <c r="N677" s="1867" t="s">
        <v>3804</v>
      </c>
    </row>
    <row r="678" spans="1:14">
      <c r="A678" s="1526">
        <v>560</v>
      </c>
      <c r="B678" s="1731">
        <v>21</v>
      </c>
      <c r="C678" s="1868" t="s">
        <v>3826</v>
      </c>
      <c r="D678" s="1599" t="s">
        <v>3540</v>
      </c>
      <c r="E678" s="1867" t="s">
        <v>435</v>
      </c>
      <c r="F678" s="1562">
        <v>2</v>
      </c>
      <c r="G678" s="1562">
        <v>2450000</v>
      </c>
      <c r="H678" s="1562">
        <f t="shared" si="45"/>
        <v>4900000</v>
      </c>
      <c r="I678" s="1562">
        <v>2</v>
      </c>
      <c r="J678" s="1562">
        <v>2450000</v>
      </c>
      <c r="K678" s="1562">
        <f t="shared" si="43"/>
        <v>4900000</v>
      </c>
      <c r="L678" s="1562">
        <f t="shared" si="44"/>
        <v>0</v>
      </c>
      <c r="M678" s="1867" t="s">
        <v>3803</v>
      </c>
      <c r="N678" s="1867" t="s">
        <v>3804</v>
      </c>
    </row>
    <row r="679" spans="1:14">
      <c r="A679" s="1526">
        <v>561</v>
      </c>
      <c r="B679" s="1731">
        <v>22</v>
      </c>
      <c r="C679" s="1868" t="s">
        <v>3827</v>
      </c>
      <c r="D679" s="1599" t="s">
        <v>3821</v>
      </c>
      <c r="E679" s="1867" t="s">
        <v>435</v>
      </c>
      <c r="F679" s="1562">
        <v>2</v>
      </c>
      <c r="G679" s="1562">
        <v>11350000</v>
      </c>
      <c r="H679" s="1562">
        <f t="shared" si="45"/>
        <v>22700000</v>
      </c>
      <c r="I679" s="1562">
        <v>2</v>
      </c>
      <c r="J679" s="1562">
        <v>11350000</v>
      </c>
      <c r="K679" s="1562">
        <f t="shared" si="43"/>
        <v>22700000</v>
      </c>
      <c r="L679" s="1562">
        <f t="shared" si="44"/>
        <v>0</v>
      </c>
      <c r="M679" s="1867" t="s">
        <v>3803</v>
      </c>
      <c r="N679" s="1867" t="s">
        <v>3804</v>
      </c>
    </row>
    <row r="680" spans="1:14">
      <c r="A680" s="1526">
        <v>562</v>
      </c>
      <c r="B680" s="1731">
        <v>23</v>
      </c>
      <c r="C680" s="1868" t="s">
        <v>3828</v>
      </c>
      <c r="D680" s="1599" t="s">
        <v>3806</v>
      </c>
      <c r="E680" s="1867" t="s">
        <v>435</v>
      </c>
      <c r="F680" s="1562">
        <v>1</v>
      </c>
      <c r="G680" s="1562">
        <v>2125000</v>
      </c>
      <c r="H680" s="1562">
        <f t="shared" si="45"/>
        <v>2125000</v>
      </c>
      <c r="I680" s="1562">
        <v>1</v>
      </c>
      <c r="J680" s="1562">
        <v>2125000</v>
      </c>
      <c r="K680" s="1562">
        <f t="shared" si="43"/>
        <v>2125000</v>
      </c>
      <c r="L680" s="1562">
        <f t="shared" si="44"/>
        <v>0</v>
      </c>
      <c r="M680" s="1867" t="s">
        <v>3803</v>
      </c>
      <c r="N680" s="1867" t="s">
        <v>3804</v>
      </c>
    </row>
    <row r="681" spans="1:14">
      <c r="A681" s="1526">
        <v>563</v>
      </c>
      <c r="B681" s="1731">
        <v>24</v>
      </c>
      <c r="C681" s="1868" t="s">
        <v>3829</v>
      </c>
      <c r="D681" s="1599" t="s">
        <v>3540</v>
      </c>
      <c r="E681" s="1867" t="s">
        <v>435</v>
      </c>
      <c r="F681" s="1562">
        <v>1</v>
      </c>
      <c r="G681" s="1562">
        <v>2450000</v>
      </c>
      <c r="H681" s="1562">
        <f t="shared" si="45"/>
        <v>2450000</v>
      </c>
      <c r="I681" s="1562">
        <v>1</v>
      </c>
      <c r="J681" s="1562">
        <v>2450000</v>
      </c>
      <c r="K681" s="1562">
        <f t="shared" si="43"/>
        <v>2450000</v>
      </c>
      <c r="L681" s="1562">
        <f t="shared" si="44"/>
        <v>0</v>
      </c>
      <c r="M681" s="1867" t="s">
        <v>3803</v>
      </c>
      <c r="N681" s="1867" t="s">
        <v>3804</v>
      </c>
    </row>
    <row r="682" spans="1:14">
      <c r="A682" s="1526">
        <v>564</v>
      </c>
      <c r="B682" s="1731">
        <v>25</v>
      </c>
      <c r="C682" s="1869" t="s">
        <v>3830</v>
      </c>
      <c r="D682" s="1599" t="s">
        <v>3821</v>
      </c>
      <c r="E682" s="1867" t="s">
        <v>435</v>
      </c>
      <c r="F682" s="1562">
        <v>2</v>
      </c>
      <c r="G682" s="1562">
        <v>11352000</v>
      </c>
      <c r="H682" s="1562">
        <f t="shared" si="45"/>
        <v>22704000</v>
      </c>
      <c r="I682" s="1562">
        <v>2</v>
      </c>
      <c r="J682" s="1562">
        <v>11352000</v>
      </c>
      <c r="K682" s="1562">
        <f t="shared" si="43"/>
        <v>22704000</v>
      </c>
      <c r="L682" s="1562">
        <f t="shared" si="44"/>
        <v>0</v>
      </c>
      <c r="M682" s="1867" t="s">
        <v>3803</v>
      </c>
      <c r="N682" s="1867" t="s">
        <v>3804</v>
      </c>
    </row>
    <row r="683" spans="1:14">
      <c r="A683" s="1526">
        <v>565</v>
      </c>
      <c r="B683" s="1731">
        <v>26</v>
      </c>
      <c r="C683" s="1868" t="s">
        <v>3831</v>
      </c>
      <c r="D683" s="1599" t="s">
        <v>3806</v>
      </c>
      <c r="E683" s="1867" t="s">
        <v>435</v>
      </c>
      <c r="F683" s="1562">
        <v>2</v>
      </c>
      <c r="G683" s="1562">
        <v>2125000</v>
      </c>
      <c r="H683" s="1562">
        <f t="shared" si="45"/>
        <v>4250000</v>
      </c>
      <c r="I683" s="1562">
        <v>2</v>
      </c>
      <c r="J683" s="1562">
        <v>2125000</v>
      </c>
      <c r="K683" s="1562">
        <f t="shared" si="43"/>
        <v>4250000</v>
      </c>
      <c r="L683" s="1562">
        <f t="shared" si="44"/>
        <v>0</v>
      </c>
      <c r="M683" s="1867" t="s">
        <v>3803</v>
      </c>
      <c r="N683" s="1867" t="s">
        <v>3804</v>
      </c>
    </row>
    <row r="684" spans="1:14">
      <c r="A684" s="1526">
        <v>566</v>
      </c>
      <c r="B684" s="1731">
        <v>27</v>
      </c>
      <c r="C684" s="1868" t="s">
        <v>3832</v>
      </c>
      <c r="D684" s="1599" t="s">
        <v>3540</v>
      </c>
      <c r="E684" s="1867" t="s">
        <v>435</v>
      </c>
      <c r="F684" s="1562">
        <v>2</v>
      </c>
      <c r="G684" s="1562">
        <v>2450000</v>
      </c>
      <c r="H684" s="1562">
        <f t="shared" si="45"/>
        <v>4900000</v>
      </c>
      <c r="I684" s="1562">
        <v>2</v>
      </c>
      <c r="J684" s="1562">
        <v>2450000</v>
      </c>
      <c r="K684" s="1562">
        <f t="shared" si="43"/>
        <v>4900000</v>
      </c>
      <c r="L684" s="1562">
        <f t="shared" si="44"/>
        <v>0</v>
      </c>
      <c r="M684" s="1867" t="s">
        <v>3803</v>
      </c>
      <c r="N684" s="1867" t="s">
        <v>3804</v>
      </c>
    </row>
    <row r="685" spans="1:14">
      <c r="A685" s="1526">
        <v>567</v>
      </c>
      <c r="B685" s="1731">
        <v>28</v>
      </c>
      <c r="C685" s="1869" t="s">
        <v>3833</v>
      </c>
      <c r="D685" s="1599" t="s">
        <v>3821</v>
      </c>
      <c r="E685" s="1867" t="s">
        <v>435</v>
      </c>
      <c r="F685" s="1562">
        <v>30</v>
      </c>
      <c r="G685" s="1562">
        <v>11350000</v>
      </c>
      <c r="H685" s="1562">
        <f t="shared" si="45"/>
        <v>340500000</v>
      </c>
      <c r="I685" s="1562">
        <v>30</v>
      </c>
      <c r="J685" s="1562">
        <v>11350000</v>
      </c>
      <c r="K685" s="1562">
        <f t="shared" si="43"/>
        <v>340500000</v>
      </c>
      <c r="L685" s="1562">
        <f t="shared" si="44"/>
        <v>0</v>
      </c>
      <c r="M685" s="1867" t="s">
        <v>3803</v>
      </c>
      <c r="N685" s="1867" t="s">
        <v>3804</v>
      </c>
    </row>
    <row r="686" spans="1:14">
      <c r="A686" s="1526">
        <v>568</v>
      </c>
      <c r="B686" s="1731">
        <v>29</v>
      </c>
      <c r="C686" s="1870" t="s">
        <v>3834</v>
      </c>
      <c r="D686" s="1599" t="s">
        <v>3806</v>
      </c>
      <c r="E686" s="1867" t="s">
        <v>435</v>
      </c>
      <c r="F686" s="1562">
        <v>2</v>
      </c>
      <c r="G686" s="1562">
        <v>2405000</v>
      </c>
      <c r="H686" s="1562">
        <f t="shared" si="45"/>
        <v>4810000</v>
      </c>
      <c r="I686" s="1562">
        <v>2</v>
      </c>
      <c r="J686" s="1562">
        <v>2405000</v>
      </c>
      <c r="K686" s="1562">
        <f t="shared" si="43"/>
        <v>4810000</v>
      </c>
      <c r="L686" s="1562">
        <f t="shared" si="44"/>
        <v>0</v>
      </c>
      <c r="M686" s="1867" t="s">
        <v>3803</v>
      </c>
      <c r="N686" s="1867" t="s">
        <v>3804</v>
      </c>
    </row>
    <row r="687" spans="1:14">
      <c r="A687" s="1526">
        <v>569</v>
      </c>
      <c r="B687" s="1731">
        <v>30</v>
      </c>
      <c r="C687" s="1870" t="s">
        <v>3835</v>
      </c>
      <c r="D687" s="1599" t="s">
        <v>3540</v>
      </c>
      <c r="E687" s="1867" t="s">
        <v>435</v>
      </c>
      <c r="F687" s="1562">
        <v>2</v>
      </c>
      <c r="G687" s="1562">
        <v>2450000</v>
      </c>
      <c r="H687" s="1562">
        <f t="shared" si="45"/>
        <v>4900000</v>
      </c>
      <c r="I687" s="1562">
        <v>2</v>
      </c>
      <c r="J687" s="1562">
        <v>2450000</v>
      </c>
      <c r="K687" s="1562">
        <f t="shared" si="43"/>
        <v>4900000</v>
      </c>
      <c r="L687" s="1562">
        <f t="shared" si="44"/>
        <v>0</v>
      </c>
      <c r="M687" s="1867" t="s">
        <v>3803</v>
      </c>
      <c r="N687" s="1867" t="s">
        <v>3804</v>
      </c>
    </row>
    <row r="688" spans="1:14">
      <c r="A688" s="1526">
        <v>570</v>
      </c>
      <c r="B688" s="1731">
        <v>31</v>
      </c>
      <c r="C688" s="1869" t="s">
        <v>3836</v>
      </c>
      <c r="D688" s="1599" t="s">
        <v>3821</v>
      </c>
      <c r="E688" s="1867" t="s">
        <v>435</v>
      </c>
      <c r="F688" s="1562">
        <v>12</v>
      </c>
      <c r="G688" s="1562">
        <v>21620000</v>
      </c>
      <c r="H688" s="1562">
        <f t="shared" si="45"/>
        <v>259440000</v>
      </c>
      <c r="I688" s="1562">
        <v>12</v>
      </c>
      <c r="J688" s="1562">
        <v>21620000</v>
      </c>
      <c r="K688" s="1562">
        <f t="shared" si="43"/>
        <v>259440000</v>
      </c>
      <c r="L688" s="1562">
        <f t="shared" si="44"/>
        <v>0</v>
      </c>
      <c r="M688" s="1867" t="s">
        <v>3803</v>
      </c>
      <c r="N688" s="1867" t="s">
        <v>3804</v>
      </c>
    </row>
    <row r="689" spans="1:14">
      <c r="A689" s="1526">
        <v>571</v>
      </c>
      <c r="B689" s="1731">
        <v>32</v>
      </c>
      <c r="C689" s="1869" t="s">
        <v>3837</v>
      </c>
      <c r="D689" s="1599" t="s">
        <v>3540</v>
      </c>
      <c r="E689" s="1867" t="s">
        <v>435</v>
      </c>
      <c r="F689" s="1562">
        <v>2</v>
      </c>
      <c r="G689" s="1562">
        <v>2450000</v>
      </c>
      <c r="H689" s="1562">
        <f t="shared" si="45"/>
        <v>4900000</v>
      </c>
      <c r="I689" s="1562">
        <v>2</v>
      </c>
      <c r="J689" s="1562">
        <v>2450000</v>
      </c>
      <c r="K689" s="1562">
        <f t="shared" si="43"/>
        <v>4900000</v>
      </c>
      <c r="L689" s="1562">
        <f t="shared" si="44"/>
        <v>0</v>
      </c>
      <c r="M689" s="1867" t="s">
        <v>3803</v>
      </c>
      <c r="N689" s="1867" t="s">
        <v>3804</v>
      </c>
    </row>
    <row r="690" spans="1:14">
      <c r="A690" s="1526">
        <v>572</v>
      </c>
      <c r="B690" s="1731">
        <v>33</v>
      </c>
      <c r="C690" s="1869" t="s">
        <v>3838</v>
      </c>
      <c r="D690" s="1599" t="s">
        <v>3806</v>
      </c>
      <c r="E690" s="1867" t="s">
        <v>435</v>
      </c>
      <c r="F690" s="1562">
        <v>2</v>
      </c>
      <c r="G690" s="1562">
        <v>2125000</v>
      </c>
      <c r="H690" s="1562">
        <f t="shared" si="45"/>
        <v>4250000</v>
      </c>
      <c r="I690" s="1562">
        <v>2</v>
      </c>
      <c r="J690" s="1562">
        <v>2125000</v>
      </c>
      <c r="K690" s="1562">
        <f t="shared" si="43"/>
        <v>4250000</v>
      </c>
      <c r="L690" s="1562">
        <f t="shared" si="44"/>
        <v>0</v>
      </c>
      <c r="M690" s="1867" t="s">
        <v>3803</v>
      </c>
      <c r="N690" s="1867" t="s">
        <v>3804</v>
      </c>
    </row>
    <row r="691" spans="1:14">
      <c r="A691" s="1526">
        <v>573</v>
      </c>
      <c r="B691" s="1731">
        <v>34</v>
      </c>
      <c r="C691" s="1869" t="s">
        <v>3839</v>
      </c>
      <c r="D691" s="1599" t="s">
        <v>3821</v>
      </c>
      <c r="E691" s="1867" t="s">
        <v>435</v>
      </c>
      <c r="F691" s="1562">
        <v>10</v>
      </c>
      <c r="G691" s="1562">
        <v>5485000</v>
      </c>
      <c r="H691" s="1562">
        <f t="shared" si="45"/>
        <v>54850000</v>
      </c>
      <c r="I691" s="1562">
        <v>10</v>
      </c>
      <c r="J691" s="1562">
        <v>5485000</v>
      </c>
      <c r="K691" s="1562">
        <f t="shared" si="43"/>
        <v>54850000</v>
      </c>
      <c r="L691" s="1562">
        <f t="shared" si="44"/>
        <v>0</v>
      </c>
      <c r="M691" s="1867" t="s">
        <v>3803</v>
      </c>
      <c r="N691" s="1867" t="s">
        <v>3804</v>
      </c>
    </row>
    <row r="692" spans="1:14">
      <c r="A692" s="1526">
        <v>574</v>
      </c>
      <c r="B692" s="1731">
        <v>35</v>
      </c>
      <c r="C692" s="1869" t="s">
        <v>3840</v>
      </c>
      <c r="D692" s="1599" t="s">
        <v>3806</v>
      </c>
      <c r="E692" s="1867" t="s">
        <v>435</v>
      </c>
      <c r="F692" s="1562">
        <v>2</v>
      </c>
      <c r="G692" s="1562">
        <v>2125000</v>
      </c>
      <c r="H692" s="1562">
        <f t="shared" si="45"/>
        <v>4250000</v>
      </c>
      <c r="I692" s="1562">
        <v>2</v>
      </c>
      <c r="J692" s="1562">
        <v>2125000</v>
      </c>
      <c r="K692" s="1562">
        <f t="shared" si="43"/>
        <v>4250000</v>
      </c>
      <c r="L692" s="1562">
        <f t="shared" si="44"/>
        <v>0</v>
      </c>
      <c r="M692" s="1867" t="s">
        <v>3803</v>
      </c>
      <c r="N692" s="1867" t="s">
        <v>3804</v>
      </c>
    </row>
    <row r="693" spans="1:14">
      <c r="A693" s="1526">
        <v>575</v>
      </c>
      <c r="B693" s="1731">
        <v>36</v>
      </c>
      <c r="C693" s="1869" t="s">
        <v>3841</v>
      </c>
      <c r="D693" s="1599" t="s">
        <v>3808</v>
      </c>
      <c r="E693" s="1867" t="s">
        <v>435</v>
      </c>
      <c r="F693" s="1562">
        <v>2</v>
      </c>
      <c r="G693" s="1562">
        <v>2450000</v>
      </c>
      <c r="H693" s="1562">
        <f t="shared" si="45"/>
        <v>4900000</v>
      </c>
      <c r="I693" s="1562">
        <v>2</v>
      </c>
      <c r="J693" s="1562">
        <v>2450000</v>
      </c>
      <c r="K693" s="1562">
        <f t="shared" si="43"/>
        <v>4900000</v>
      </c>
      <c r="L693" s="1562">
        <f t="shared" si="44"/>
        <v>0</v>
      </c>
      <c r="M693" s="1867" t="s">
        <v>3803</v>
      </c>
      <c r="N693" s="1867" t="s">
        <v>3804</v>
      </c>
    </row>
    <row r="694" spans="1:14">
      <c r="A694" s="1526">
        <v>576</v>
      </c>
      <c r="B694" s="1731">
        <v>37</v>
      </c>
      <c r="C694" s="1868" t="s">
        <v>3842</v>
      </c>
      <c r="D694" s="1599" t="s">
        <v>3821</v>
      </c>
      <c r="E694" s="1867" t="s">
        <v>435</v>
      </c>
      <c r="F694" s="1562">
        <v>2</v>
      </c>
      <c r="G694" s="1562">
        <v>4720000</v>
      </c>
      <c r="H694" s="1562">
        <f t="shared" si="45"/>
        <v>9440000</v>
      </c>
      <c r="I694" s="1562">
        <v>2</v>
      </c>
      <c r="J694" s="1562">
        <v>4720000</v>
      </c>
      <c r="K694" s="1562">
        <f t="shared" si="43"/>
        <v>9440000</v>
      </c>
      <c r="L694" s="1562">
        <f t="shared" si="44"/>
        <v>0</v>
      </c>
      <c r="M694" s="1867" t="s">
        <v>3803</v>
      </c>
      <c r="N694" s="1867" t="s">
        <v>3804</v>
      </c>
    </row>
    <row r="695" spans="1:14">
      <c r="A695" s="1526">
        <v>577</v>
      </c>
      <c r="B695" s="1731">
        <v>38</v>
      </c>
      <c r="C695" s="1868" t="s">
        <v>3843</v>
      </c>
      <c r="D695" s="1599" t="s">
        <v>3806</v>
      </c>
      <c r="E695" s="1867" t="s">
        <v>435</v>
      </c>
      <c r="F695" s="1562">
        <v>2</v>
      </c>
      <c r="G695" s="1562">
        <v>2125000</v>
      </c>
      <c r="H695" s="1562">
        <f t="shared" si="45"/>
        <v>4250000</v>
      </c>
      <c r="I695" s="1562">
        <v>2</v>
      </c>
      <c r="J695" s="1562">
        <v>2125000</v>
      </c>
      <c r="K695" s="1562">
        <f t="shared" si="43"/>
        <v>4250000</v>
      </c>
      <c r="L695" s="1562">
        <f t="shared" si="44"/>
        <v>0</v>
      </c>
      <c r="M695" s="1867" t="s">
        <v>3803</v>
      </c>
      <c r="N695" s="1867" t="s">
        <v>3804</v>
      </c>
    </row>
    <row r="696" spans="1:14">
      <c r="A696" s="1526">
        <v>578</v>
      </c>
      <c r="B696" s="1731">
        <v>39</v>
      </c>
      <c r="C696" s="1869" t="s">
        <v>3844</v>
      </c>
      <c r="D696" s="1599" t="s">
        <v>3808</v>
      </c>
      <c r="E696" s="1867" t="s">
        <v>435</v>
      </c>
      <c r="F696" s="1562">
        <v>2</v>
      </c>
      <c r="G696" s="1562">
        <v>2450000</v>
      </c>
      <c r="H696" s="1562">
        <f t="shared" si="45"/>
        <v>4900000</v>
      </c>
      <c r="I696" s="1562">
        <v>2</v>
      </c>
      <c r="J696" s="1562">
        <v>2450000</v>
      </c>
      <c r="K696" s="1562">
        <f t="shared" si="43"/>
        <v>4900000</v>
      </c>
      <c r="L696" s="1562">
        <f t="shared" si="44"/>
        <v>0</v>
      </c>
      <c r="M696" s="1867" t="s">
        <v>3803</v>
      </c>
      <c r="N696" s="1867" t="s">
        <v>3804</v>
      </c>
    </row>
    <row r="697" spans="1:14">
      <c r="A697" s="1526">
        <v>579</v>
      </c>
      <c r="B697" s="1731">
        <v>40</v>
      </c>
      <c r="C697" s="1658" t="s">
        <v>3845</v>
      </c>
      <c r="D697" s="1599" t="s">
        <v>3821</v>
      </c>
      <c r="E697" s="1867" t="s">
        <v>435</v>
      </c>
      <c r="F697" s="1562">
        <v>10</v>
      </c>
      <c r="G697" s="1562">
        <v>4720000</v>
      </c>
      <c r="H697" s="1562">
        <f t="shared" si="45"/>
        <v>47200000</v>
      </c>
      <c r="I697" s="1562">
        <v>10</v>
      </c>
      <c r="J697" s="1562">
        <v>4720000</v>
      </c>
      <c r="K697" s="1562">
        <f t="shared" si="43"/>
        <v>47200000</v>
      </c>
      <c r="L697" s="1562">
        <f t="shared" si="44"/>
        <v>0</v>
      </c>
      <c r="M697" s="1867" t="s">
        <v>3803</v>
      </c>
      <c r="N697" s="1867" t="s">
        <v>3804</v>
      </c>
    </row>
    <row r="698" spans="1:14">
      <c r="A698" s="1526">
        <v>580</v>
      </c>
      <c r="B698" s="1731">
        <v>41</v>
      </c>
      <c r="C698" s="1868" t="s">
        <v>3846</v>
      </c>
      <c r="D698" s="1599" t="s">
        <v>3806</v>
      </c>
      <c r="E698" s="1867" t="s">
        <v>435</v>
      </c>
      <c r="F698" s="1562">
        <v>2</v>
      </c>
      <c r="G698" s="1562">
        <v>2450000</v>
      </c>
      <c r="H698" s="1562">
        <f t="shared" si="45"/>
        <v>4900000</v>
      </c>
      <c r="I698" s="1562">
        <v>2</v>
      </c>
      <c r="J698" s="1562">
        <v>2450000</v>
      </c>
      <c r="K698" s="1562">
        <f t="shared" si="43"/>
        <v>4900000</v>
      </c>
      <c r="L698" s="1562">
        <f t="shared" si="44"/>
        <v>0</v>
      </c>
      <c r="M698" s="1867" t="s">
        <v>3803</v>
      </c>
      <c r="N698" s="1867" t="s">
        <v>3804</v>
      </c>
    </row>
    <row r="699" spans="1:14">
      <c r="A699" s="1526">
        <v>581</v>
      </c>
      <c r="B699" s="1731">
        <v>42</v>
      </c>
      <c r="C699" s="1869" t="s">
        <v>3847</v>
      </c>
      <c r="D699" s="1599" t="s">
        <v>3821</v>
      </c>
      <c r="E699" s="1867" t="s">
        <v>435</v>
      </c>
      <c r="F699" s="1562">
        <v>10</v>
      </c>
      <c r="G699" s="1562">
        <v>4720000</v>
      </c>
      <c r="H699" s="1562">
        <f t="shared" si="45"/>
        <v>47200000</v>
      </c>
      <c r="I699" s="1562">
        <v>10</v>
      </c>
      <c r="J699" s="1562">
        <v>4720000</v>
      </c>
      <c r="K699" s="1562">
        <f t="shared" si="43"/>
        <v>47200000</v>
      </c>
      <c r="L699" s="1562">
        <f t="shared" si="44"/>
        <v>0</v>
      </c>
      <c r="M699" s="1867" t="s">
        <v>3803</v>
      </c>
      <c r="N699" s="1867" t="s">
        <v>3804</v>
      </c>
    </row>
    <row r="700" spans="1:14">
      <c r="A700" s="1526">
        <v>582</v>
      </c>
      <c r="B700" s="1731">
        <v>43</v>
      </c>
      <c r="C700" s="1658" t="s">
        <v>3848</v>
      </c>
      <c r="D700" s="1599" t="s">
        <v>3806</v>
      </c>
      <c r="E700" s="1867" t="s">
        <v>435</v>
      </c>
      <c r="F700" s="1562">
        <v>2</v>
      </c>
      <c r="G700" s="1562">
        <v>2125000</v>
      </c>
      <c r="H700" s="1562">
        <f t="shared" si="45"/>
        <v>4250000</v>
      </c>
      <c r="I700" s="1562">
        <v>2</v>
      </c>
      <c r="J700" s="1562">
        <v>2125000</v>
      </c>
      <c r="K700" s="1562">
        <f t="shared" si="43"/>
        <v>4250000</v>
      </c>
      <c r="L700" s="1562">
        <f t="shared" si="44"/>
        <v>0</v>
      </c>
      <c r="M700" s="1867" t="s">
        <v>3803</v>
      </c>
      <c r="N700" s="1867" t="s">
        <v>3804</v>
      </c>
    </row>
    <row r="701" spans="1:14">
      <c r="A701" s="1526">
        <v>583</v>
      </c>
      <c r="B701" s="1731">
        <v>44</v>
      </c>
      <c r="C701" s="1869" t="s">
        <v>3849</v>
      </c>
      <c r="D701" s="1599" t="s">
        <v>3850</v>
      </c>
      <c r="E701" s="1867" t="s">
        <v>435</v>
      </c>
      <c r="F701" s="1562">
        <v>2</v>
      </c>
      <c r="G701" s="1562">
        <v>2450000</v>
      </c>
      <c r="H701" s="1562">
        <f t="shared" si="45"/>
        <v>4900000</v>
      </c>
      <c r="I701" s="1562">
        <v>2</v>
      </c>
      <c r="J701" s="1562">
        <v>2450000</v>
      </c>
      <c r="K701" s="1562">
        <f t="shared" si="43"/>
        <v>4900000</v>
      </c>
      <c r="L701" s="1562">
        <f t="shared" si="44"/>
        <v>0</v>
      </c>
      <c r="M701" s="1867" t="s">
        <v>3803</v>
      </c>
      <c r="N701" s="1867" t="s">
        <v>3804</v>
      </c>
    </row>
    <row r="702" spans="1:14">
      <c r="A702" s="1526">
        <v>584</v>
      </c>
      <c r="B702" s="1731">
        <v>45</v>
      </c>
      <c r="C702" s="1868" t="s">
        <v>3851</v>
      </c>
      <c r="D702" s="1599" t="s">
        <v>3821</v>
      </c>
      <c r="E702" s="1867" t="s">
        <v>435</v>
      </c>
      <c r="F702" s="1562">
        <v>2</v>
      </c>
      <c r="G702" s="1562">
        <v>6251000</v>
      </c>
      <c r="H702" s="1562">
        <f t="shared" si="45"/>
        <v>12502000</v>
      </c>
      <c r="I702" s="1562">
        <v>2</v>
      </c>
      <c r="J702" s="1562">
        <v>6251000</v>
      </c>
      <c r="K702" s="1562">
        <f t="shared" si="43"/>
        <v>12502000</v>
      </c>
      <c r="L702" s="1562">
        <f t="shared" si="44"/>
        <v>0</v>
      </c>
      <c r="M702" s="1867" t="s">
        <v>3803</v>
      </c>
      <c r="N702" s="1867" t="s">
        <v>3804</v>
      </c>
    </row>
    <row r="703" spans="1:14">
      <c r="A703" s="1526">
        <v>585</v>
      </c>
      <c r="B703" s="1731">
        <v>46</v>
      </c>
      <c r="C703" s="1658" t="s">
        <v>3852</v>
      </c>
      <c r="D703" s="1599" t="s">
        <v>3806</v>
      </c>
      <c r="E703" s="1867" t="s">
        <v>435</v>
      </c>
      <c r="F703" s="1562">
        <v>2</v>
      </c>
      <c r="G703" s="1562">
        <v>2125000</v>
      </c>
      <c r="H703" s="1562">
        <f t="shared" si="45"/>
        <v>4250000</v>
      </c>
      <c r="I703" s="1562">
        <v>2</v>
      </c>
      <c r="J703" s="1562">
        <v>2125000</v>
      </c>
      <c r="K703" s="1562">
        <f t="shared" si="43"/>
        <v>4250000</v>
      </c>
      <c r="L703" s="1562">
        <f t="shared" si="44"/>
        <v>0</v>
      </c>
      <c r="M703" s="1867" t="s">
        <v>3803</v>
      </c>
      <c r="N703" s="1867" t="s">
        <v>3804</v>
      </c>
    </row>
    <row r="704" spans="1:14">
      <c r="A704" s="1526">
        <v>586</v>
      </c>
      <c r="B704" s="1731">
        <v>47</v>
      </c>
      <c r="C704" s="1868" t="s">
        <v>3853</v>
      </c>
      <c r="D704" s="1599" t="s">
        <v>3540</v>
      </c>
      <c r="E704" s="1867" t="s">
        <v>435</v>
      </c>
      <c r="F704" s="1562">
        <v>2</v>
      </c>
      <c r="G704" s="1562">
        <v>2450000</v>
      </c>
      <c r="H704" s="1562">
        <f t="shared" si="45"/>
        <v>4900000</v>
      </c>
      <c r="I704" s="1562">
        <v>2</v>
      </c>
      <c r="J704" s="1562">
        <v>2450000</v>
      </c>
      <c r="K704" s="1562">
        <f t="shared" si="43"/>
        <v>4900000</v>
      </c>
      <c r="L704" s="1562">
        <f t="shared" si="44"/>
        <v>0</v>
      </c>
      <c r="M704" s="1867" t="s">
        <v>3803</v>
      </c>
      <c r="N704" s="1867" t="s">
        <v>3804</v>
      </c>
    </row>
    <row r="705" spans="1:14">
      <c r="A705" s="1526">
        <v>587</v>
      </c>
      <c r="B705" s="1731">
        <v>48</v>
      </c>
      <c r="C705" s="1868" t="s">
        <v>3854</v>
      </c>
      <c r="D705" s="1599" t="s">
        <v>3821</v>
      </c>
      <c r="E705" s="1867" t="s">
        <v>435</v>
      </c>
      <c r="F705" s="1562">
        <v>2</v>
      </c>
      <c r="G705" s="1562">
        <v>6251000</v>
      </c>
      <c r="H705" s="1562">
        <f t="shared" si="45"/>
        <v>12502000</v>
      </c>
      <c r="I705" s="1562">
        <v>2</v>
      </c>
      <c r="J705" s="1562">
        <v>6251000</v>
      </c>
      <c r="K705" s="1562">
        <f t="shared" si="43"/>
        <v>12502000</v>
      </c>
      <c r="L705" s="1562">
        <f t="shared" si="44"/>
        <v>0</v>
      </c>
      <c r="M705" s="1867" t="s">
        <v>3803</v>
      </c>
      <c r="N705" s="1867" t="s">
        <v>3804</v>
      </c>
    </row>
    <row r="706" spans="1:14">
      <c r="A706" s="1526">
        <v>588</v>
      </c>
      <c r="B706" s="1731">
        <v>49</v>
      </c>
      <c r="C706" s="1869" t="s">
        <v>3855</v>
      </c>
      <c r="D706" s="1599" t="s">
        <v>3806</v>
      </c>
      <c r="E706" s="1867" t="s">
        <v>435</v>
      </c>
      <c r="F706" s="1562">
        <v>2</v>
      </c>
      <c r="G706" s="1562">
        <v>2125000</v>
      </c>
      <c r="H706" s="1562">
        <f t="shared" si="45"/>
        <v>4250000</v>
      </c>
      <c r="I706" s="1562">
        <v>2</v>
      </c>
      <c r="J706" s="1562">
        <v>2125000</v>
      </c>
      <c r="K706" s="1562">
        <f t="shared" si="43"/>
        <v>4250000</v>
      </c>
      <c r="L706" s="1562">
        <f t="shared" si="44"/>
        <v>0</v>
      </c>
      <c r="M706" s="1867" t="s">
        <v>3803</v>
      </c>
      <c r="N706" s="1867" t="s">
        <v>3804</v>
      </c>
    </row>
    <row r="707" spans="1:14">
      <c r="A707" s="1526">
        <v>589</v>
      </c>
      <c r="B707" s="1731">
        <v>50</v>
      </c>
      <c r="C707" s="1869" t="s">
        <v>3856</v>
      </c>
      <c r="D707" s="1599" t="s">
        <v>3540</v>
      </c>
      <c r="E707" s="1867" t="s">
        <v>435</v>
      </c>
      <c r="F707" s="1562">
        <v>2</v>
      </c>
      <c r="G707" s="1562">
        <v>2450000</v>
      </c>
      <c r="H707" s="1562">
        <f t="shared" si="45"/>
        <v>4900000</v>
      </c>
      <c r="I707" s="1562">
        <v>2</v>
      </c>
      <c r="J707" s="1562">
        <v>2450000</v>
      </c>
      <c r="K707" s="1562">
        <f t="shared" si="43"/>
        <v>4900000</v>
      </c>
      <c r="L707" s="1562">
        <f t="shared" si="44"/>
        <v>0</v>
      </c>
      <c r="M707" s="1867" t="s">
        <v>3803</v>
      </c>
      <c r="N707" s="1867" t="s">
        <v>3804</v>
      </c>
    </row>
    <row r="708" spans="1:14">
      <c r="A708" s="1526">
        <v>590</v>
      </c>
      <c r="B708" s="1731">
        <v>51</v>
      </c>
      <c r="C708" s="1868" t="s">
        <v>3857</v>
      </c>
      <c r="D708" s="1599" t="s">
        <v>3821</v>
      </c>
      <c r="E708" s="1867" t="s">
        <v>435</v>
      </c>
      <c r="F708" s="1562">
        <v>2</v>
      </c>
      <c r="G708" s="1562">
        <v>6251000</v>
      </c>
      <c r="H708" s="1562">
        <f t="shared" si="45"/>
        <v>12502000</v>
      </c>
      <c r="I708" s="1562">
        <v>2</v>
      </c>
      <c r="J708" s="1562">
        <v>6251000</v>
      </c>
      <c r="K708" s="1562">
        <f t="shared" si="43"/>
        <v>12502000</v>
      </c>
      <c r="L708" s="1562">
        <f t="shared" si="44"/>
        <v>0</v>
      </c>
      <c r="M708" s="1867" t="s">
        <v>3803</v>
      </c>
      <c r="N708" s="1867" t="s">
        <v>3804</v>
      </c>
    </row>
    <row r="709" spans="1:14">
      <c r="A709" s="1526">
        <v>591</v>
      </c>
      <c r="B709" s="1731">
        <v>52</v>
      </c>
      <c r="C709" s="1868" t="s">
        <v>3858</v>
      </c>
      <c r="D709" s="1599" t="s">
        <v>3806</v>
      </c>
      <c r="E709" s="1867" t="s">
        <v>435</v>
      </c>
      <c r="F709" s="1562">
        <v>2</v>
      </c>
      <c r="G709" s="1562">
        <v>2125000</v>
      </c>
      <c r="H709" s="1562">
        <f t="shared" si="45"/>
        <v>4250000</v>
      </c>
      <c r="I709" s="1562">
        <v>2</v>
      </c>
      <c r="J709" s="1562">
        <v>2125000</v>
      </c>
      <c r="K709" s="1562">
        <f t="shared" si="43"/>
        <v>4250000</v>
      </c>
      <c r="L709" s="1562">
        <f t="shared" si="44"/>
        <v>0</v>
      </c>
      <c r="M709" s="1867" t="s">
        <v>3803</v>
      </c>
      <c r="N709" s="1867" t="s">
        <v>3804</v>
      </c>
    </row>
    <row r="710" spans="1:14">
      <c r="A710" s="1526">
        <v>592</v>
      </c>
      <c r="B710" s="1731">
        <v>53</v>
      </c>
      <c r="C710" s="1869" t="s">
        <v>3859</v>
      </c>
      <c r="D710" s="1599" t="s">
        <v>3540</v>
      </c>
      <c r="E710" s="1867" t="s">
        <v>435</v>
      </c>
      <c r="F710" s="1562">
        <v>2</v>
      </c>
      <c r="G710" s="1562">
        <v>2450000</v>
      </c>
      <c r="H710" s="1562">
        <f t="shared" si="45"/>
        <v>4900000</v>
      </c>
      <c r="I710" s="1562">
        <v>2</v>
      </c>
      <c r="J710" s="1562">
        <v>2450000</v>
      </c>
      <c r="K710" s="1562">
        <f t="shared" si="43"/>
        <v>4900000</v>
      </c>
      <c r="L710" s="1562">
        <f t="shared" si="44"/>
        <v>0</v>
      </c>
      <c r="M710" s="1867" t="s">
        <v>3803</v>
      </c>
      <c r="N710" s="1867" t="s">
        <v>3804</v>
      </c>
    </row>
    <row r="711" spans="1:14">
      <c r="A711" s="1526">
        <v>593</v>
      </c>
      <c r="B711" s="1731">
        <v>54</v>
      </c>
      <c r="C711" s="1868" t="s">
        <v>3860</v>
      </c>
      <c r="D711" s="1599" t="s">
        <v>3821</v>
      </c>
      <c r="E711" s="1867" t="s">
        <v>435</v>
      </c>
      <c r="F711" s="1562">
        <v>2</v>
      </c>
      <c r="G711" s="1562">
        <v>6251000</v>
      </c>
      <c r="H711" s="1562">
        <f t="shared" si="45"/>
        <v>12502000</v>
      </c>
      <c r="I711" s="1562">
        <v>2</v>
      </c>
      <c r="J711" s="1562">
        <v>6251000</v>
      </c>
      <c r="K711" s="1562">
        <f t="shared" si="43"/>
        <v>12502000</v>
      </c>
      <c r="L711" s="1562">
        <f t="shared" si="44"/>
        <v>0</v>
      </c>
      <c r="M711" s="1867" t="s">
        <v>3803</v>
      </c>
      <c r="N711" s="1867" t="s">
        <v>3804</v>
      </c>
    </row>
    <row r="712" spans="1:14">
      <c r="A712" s="1526">
        <v>594</v>
      </c>
      <c r="B712" s="1731">
        <v>55</v>
      </c>
      <c r="C712" s="1868" t="s">
        <v>3861</v>
      </c>
      <c r="D712" s="1599" t="s">
        <v>3806</v>
      </c>
      <c r="E712" s="1867" t="s">
        <v>435</v>
      </c>
      <c r="F712" s="1562">
        <v>2</v>
      </c>
      <c r="G712" s="1562">
        <v>2125000</v>
      </c>
      <c r="H712" s="1562">
        <f t="shared" si="45"/>
        <v>4250000</v>
      </c>
      <c r="I712" s="1562">
        <v>2</v>
      </c>
      <c r="J712" s="1562">
        <v>2125000</v>
      </c>
      <c r="K712" s="1562">
        <f t="shared" si="43"/>
        <v>4250000</v>
      </c>
      <c r="L712" s="1562">
        <f t="shared" si="44"/>
        <v>0</v>
      </c>
      <c r="M712" s="1867" t="s">
        <v>3803</v>
      </c>
      <c r="N712" s="1867" t="s">
        <v>3804</v>
      </c>
    </row>
    <row r="713" spans="1:14">
      <c r="A713" s="1526">
        <v>595</v>
      </c>
      <c r="B713" s="1731">
        <v>56</v>
      </c>
      <c r="C713" s="1868" t="s">
        <v>3862</v>
      </c>
      <c r="D713" s="1599" t="s">
        <v>3540</v>
      </c>
      <c r="E713" s="1867" t="s">
        <v>435</v>
      </c>
      <c r="F713" s="1562">
        <v>2</v>
      </c>
      <c r="G713" s="1562">
        <v>2450000</v>
      </c>
      <c r="H713" s="1562">
        <f t="shared" si="45"/>
        <v>4900000</v>
      </c>
      <c r="I713" s="1562">
        <v>2</v>
      </c>
      <c r="J713" s="1562">
        <v>2450000</v>
      </c>
      <c r="K713" s="1562">
        <f t="shared" si="43"/>
        <v>4900000</v>
      </c>
      <c r="L713" s="1562">
        <f t="shared" si="44"/>
        <v>0</v>
      </c>
      <c r="M713" s="1867" t="s">
        <v>3803</v>
      </c>
      <c r="N713" s="1867" t="s">
        <v>3804</v>
      </c>
    </row>
    <row r="714" spans="1:14">
      <c r="A714" s="1526">
        <v>596</v>
      </c>
      <c r="B714" s="1731">
        <v>57</v>
      </c>
      <c r="C714" s="1658" t="s">
        <v>3863</v>
      </c>
      <c r="D714" s="1599" t="s">
        <v>3821</v>
      </c>
      <c r="E714" s="1867" t="s">
        <v>435</v>
      </c>
      <c r="F714" s="1562">
        <v>2</v>
      </c>
      <c r="G714" s="1562">
        <v>6251000</v>
      </c>
      <c r="H714" s="1562">
        <f t="shared" si="45"/>
        <v>12502000</v>
      </c>
      <c r="I714" s="1562">
        <v>2</v>
      </c>
      <c r="J714" s="1562">
        <v>6251000</v>
      </c>
      <c r="K714" s="1562">
        <f t="shared" si="43"/>
        <v>12502000</v>
      </c>
      <c r="L714" s="1562">
        <f t="shared" si="44"/>
        <v>0</v>
      </c>
      <c r="M714" s="1867" t="s">
        <v>3803</v>
      </c>
      <c r="N714" s="1867" t="s">
        <v>3804</v>
      </c>
    </row>
    <row r="715" spans="1:14">
      <c r="A715" s="1526">
        <v>597</v>
      </c>
      <c r="B715" s="1731">
        <v>58</v>
      </c>
      <c r="C715" s="1868" t="s">
        <v>3864</v>
      </c>
      <c r="D715" s="1599" t="s">
        <v>3806</v>
      </c>
      <c r="E715" s="1867" t="s">
        <v>435</v>
      </c>
      <c r="F715" s="1562">
        <v>2</v>
      </c>
      <c r="G715" s="1562">
        <v>2125000</v>
      </c>
      <c r="H715" s="1562">
        <f t="shared" si="45"/>
        <v>4250000</v>
      </c>
      <c r="I715" s="1562">
        <v>2</v>
      </c>
      <c r="J715" s="1562">
        <v>2125000</v>
      </c>
      <c r="K715" s="1562">
        <f t="shared" si="43"/>
        <v>4250000</v>
      </c>
      <c r="L715" s="1562">
        <f t="shared" si="44"/>
        <v>0</v>
      </c>
      <c r="M715" s="1867" t="s">
        <v>3803</v>
      </c>
      <c r="N715" s="1867" t="s">
        <v>3804</v>
      </c>
    </row>
    <row r="716" spans="1:14">
      <c r="A716" s="1526">
        <v>598</v>
      </c>
      <c r="B716" s="1731">
        <v>59</v>
      </c>
      <c r="C716" s="1868" t="s">
        <v>3865</v>
      </c>
      <c r="D716" s="1599" t="s">
        <v>3540</v>
      </c>
      <c r="E716" s="1867" t="s">
        <v>435</v>
      </c>
      <c r="F716" s="1562">
        <v>1</v>
      </c>
      <c r="G716" s="1562">
        <v>2450000</v>
      </c>
      <c r="H716" s="1562">
        <f t="shared" si="45"/>
        <v>2450000</v>
      </c>
      <c r="I716" s="1562">
        <v>1</v>
      </c>
      <c r="J716" s="1562">
        <v>2450000</v>
      </c>
      <c r="K716" s="1562">
        <f t="shared" si="43"/>
        <v>2450000</v>
      </c>
      <c r="L716" s="1562">
        <f t="shared" si="44"/>
        <v>0</v>
      </c>
      <c r="M716" s="1867" t="s">
        <v>3803</v>
      </c>
      <c r="N716" s="1867" t="s">
        <v>3804</v>
      </c>
    </row>
    <row r="717" spans="1:14">
      <c r="A717" s="1526">
        <v>599</v>
      </c>
      <c r="B717" s="1731">
        <v>60</v>
      </c>
      <c r="C717" s="1658" t="s">
        <v>3866</v>
      </c>
      <c r="D717" s="1599" t="s">
        <v>3821</v>
      </c>
      <c r="E717" s="1867" t="s">
        <v>435</v>
      </c>
      <c r="F717" s="1562">
        <v>2</v>
      </c>
      <c r="G717" s="1562">
        <v>6251000</v>
      </c>
      <c r="H717" s="1562">
        <f t="shared" si="45"/>
        <v>12502000</v>
      </c>
      <c r="I717" s="1562">
        <v>2</v>
      </c>
      <c r="J717" s="1562">
        <v>6251000</v>
      </c>
      <c r="K717" s="1562">
        <f t="shared" si="43"/>
        <v>12502000</v>
      </c>
      <c r="L717" s="1562">
        <f t="shared" si="44"/>
        <v>0</v>
      </c>
      <c r="M717" s="1867" t="s">
        <v>3803</v>
      </c>
      <c r="N717" s="1867" t="s">
        <v>3804</v>
      </c>
    </row>
    <row r="718" spans="1:14">
      <c r="A718" s="1526">
        <v>600</v>
      </c>
      <c r="B718" s="1731">
        <v>61</v>
      </c>
      <c r="C718" s="1869" t="s">
        <v>3867</v>
      </c>
      <c r="D718" s="1599" t="s">
        <v>3806</v>
      </c>
      <c r="E718" s="1867" t="s">
        <v>435</v>
      </c>
      <c r="F718" s="1562">
        <v>2</v>
      </c>
      <c r="G718" s="1562">
        <v>2125000</v>
      </c>
      <c r="H718" s="1562">
        <f t="shared" si="45"/>
        <v>4250000</v>
      </c>
      <c r="I718" s="1562">
        <v>2</v>
      </c>
      <c r="J718" s="1562">
        <v>2125000</v>
      </c>
      <c r="K718" s="1562">
        <f t="shared" si="43"/>
        <v>4250000</v>
      </c>
      <c r="L718" s="1562">
        <f t="shared" si="44"/>
        <v>0</v>
      </c>
      <c r="M718" s="1867" t="s">
        <v>3803</v>
      </c>
      <c r="N718" s="1867" t="s">
        <v>3804</v>
      </c>
    </row>
    <row r="719" spans="1:14">
      <c r="A719" s="1526">
        <v>601</v>
      </c>
      <c r="B719" s="1731">
        <v>62</v>
      </c>
      <c r="C719" s="1868" t="s">
        <v>3868</v>
      </c>
      <c r="D719" s="1599" t="s">
        <v>3540</v>
      </c>
      <c r="E719" s="1867" t="s">
        <v>435</v>
      </c>
      <c r="F719" s="1562">
        <v>2</v>
      </c>
      <c r="G719" s="1562">
        <v>2450000</v>
      </c>
      <c r="H719" s="1562">
        <f t="shared" si="45"/>
        <v>4900000</v>
      </c>
      <c r="I719" s="1562">
        <v>2</v>
      </c>
      <c r="J719" s="1562">
        <v>2450000</v>
      </c>
      <c r="K719" s="1562">
        <f t="shared" si="43"/>
        <v>4900000</v>
      </c>
      <c r="L719" s="1562">
        <f t="shared" si="44"/>
        <v>0</v>
      </c>
      <c r="M719" s="1867" t="s">
        <v>3803</v>
      </c>
      <c r="N719" s="1867" t="s">
        <v>3804</v>
      </c>
    </row>
    <row r="720" spans="1:14">
      <c r="A720" s="1526">
        <v>602</v>
      </c>
      <c r="B720" s="1731">
        <v>63</v>
      </c>
      <c r="C720" s="1869" t="s">
        <v>3869</v>
      </c>
      <c r="D720" s="1599" t="s">
        <v>3821</v>
      </c>
      <c r="E720" s="1867" t="s">
        <v>435</v>
      </c>
      <c r="F720" s="1562">
        <v>2</v>
      </c>
      <c r="G720" s="1562">
        <v>6251289</v>
      </c>
      <c r="H720" s="1562">
        <f t="shared" si="45"/>
        <v>12502578</v>
      </c>
      <c r="I720" s="1562">
        <v>2</v>
      </c>
      <c r="J720" s="1562">
        <v>6251289</v>
      </c>
      <c r="K720" s="1562">
        <f t="shared" si="43"/>
        <v>12502578</v>
      </c>
      <c r="L720" s="1562">
        <f t="shared" si="44"/>
        <v>0</v>
      </c>
      <c r="M720" s="1867" t="s">
        <v>3803</v>
      </c>
      <c r="N720" s="1867" t="s">
        <v>3804</v>
      </c>
    </row>
    <row r="721" spans="1:14">
      <c r="A721" s="1526">
        <v>603</v>
      </c>
      <c r="B721" s="1731">
        <v>64</v>
      </c>
      <c r="C721" s="1869" t="s">
        <v>3870</v>
      </c>
      <c r="D721" s="1599" t="s">
        <v>3806</v>
      </c>
      <c r="E721" s="1867" t="s">
        <v>435</v>
      </c>
      <c r="F721" s="1562">
        <v>2</v>
      </c>
      <c r="G721" s="1562">
        <v>2125000</v>
      </c>
      <c r="H721" s="1562">
        <f t="shared" si="45"/>
        <v>4250000</v>
      </c>
      <c r="I721" s="1562">
        <v>2</v>
      </c>
      <c r="J721" s="1562">
        <v>2125000</v>
      </c>
      <c r="K721" s="1562">
        <f t="shared" si="43"/>
        <v>4250000</v>
      </c>
      <c r="L721" s="1562">
        <f t="shared" si="44"/>
        <v>0</v>
      </c>
      <c r="M721" s="1867" t="s">
        <v>3803</v>
      </c>
      <c r="N721" s="1867" t="s">
        <v>3804</v>
      </c>
    </row>
    <row r="722" spans="1:14">
      <c r="A722" s="1526">
        <v>604</v>
      </c>
      <c r="B722" s="1731">
        <v>65</v>
      </c>
      <c r="C722" s="1869" t="s">
        <v>3871</v>
      </c>
      <c r="D722" s="1599" t="s">
        <v>3540</v>
      </c>
      <c r="E722" s="1867" t="s">
        <v>435</v>
      </c>
      <c r="F722" s="1562">
        <v>2</v>
      </c>
      <c r="G722" s="1562">
        <v>2450000</v>
      </c>
      <c r="H722" s="1562">
        <f t="shared" si="45"/>
        <v>4900000</v>
      </c>
      <c r="I722" s="1562">
        <v>2</v>
      </c>
      <c r="J722" s="1562">
        <v>2450000</v>
      </c>
      <c r="K722" s="1562">
        <f t="shared" ref="K722:K785" si="46">I722*J722</f>
        <v>4900000</v>
      </c>
      <c r="L722" s="1562">
        <f t="shared" ref="L722:L785" si="47">J722-G722</f>
        <v>0</v>
      </c>
      <c r="M722" s="1867" t="s">
        <v>3803</v>
      </c>
      <c r="N722" s="1867" t="s">
        <v>3804</v>
      </c>
    </row>
    <row r="723" spans="1:14">
      <c r="A723" s="1526">
        <v>605</v>
      </c>
      <c r="B723" s="1731">
        <v>66</v>
      </c>
      <c r="C723" s="1868" t="s">
        <v>3872</v>
      </c>
      <c r="D723" s="1599" t="s">
        <v>3821</v>
      </c>
      <c r="E723" s="1867" t="s">
        <v>435</v>
      </c>
      <c r="F723" s="1562">
        <v>20</v>
      </c>
      <c r="G723" s="1562">
        <v>8800000</v>
      </c>
      <c r="H723" s="1562">
        <f t="shared" ref="H723:H757" si="48">G723*F723</f>
        <v>176000000</v>
      </c>
      <c r="I723" s="1562">
        <v>20</v>
      </c>
      <c r="J723" s="1562">
        <v>8800000</v>
      </c>
      <c r="K723" s="1562">
        <f t="shared" si="46"/>
        <v>176000000</v>
      </c>
      <c r="L723" s="1562">
        <f t="shared" si="47"/>
        <v>0</v>
      </c>
      <c r="M723" s="1867" t="s">
        <v>3803</v>
      </c>
      <c r="N723" s="1867" t="s">
        <v>3804</v>
      </c>
    </row>
    <row r="724" spans="1:14">
      <c r="A724" s="1526">
        <v>606</v>
      </c>
      <c r="B724" s="1731">
        <v>67</v>
      </c>
      <c r="C724" s="1870" t="s">
        <v>3873</v>
      </c>
      <c r="D724" s="1599" t="s">
        <v>3808</v>
      </c>
      <c r="E724" s="1867" t="s">
        <v>435</v>
      </c>
      <c r="F724" s="1562">
        <v>2</v>
      </c>
      <c r="G724" s="1562">
        <v>2450000</v>
      </c>
      <c r="H724" s="1562">
        <f t="shared" si="48"/>
        <v>4900000</v>
      </c>
      <c r="I724" s="1562">
        <v>2</v>
      </c>
      <c r="J724" s="1562">
        <v>2450000</v>
      </c>
      <c r="K724" s="1562">
        <f t="shared" si="46"/>
        <v>4900000</v>
      </c>
      <c r="L724" s="1562">
        <f t="shared" si="47"/>
        <v>0</v>
      </c>
      <c r="M724" s="1867" t="s">
        <v>3803</v>
      </c>
      <c r="N724" s="1867" t="s">
        <v>3804</v>
      </c>
    </row>
    <row r="725" spans="1:14">
      <c r="A725" s="1526">
        <v>607</v>
      </c>
      <c r="B725" s="1731">
        <v>68</v>
      </c>
      <c r="C725" s="1868" t="s">
        <v>3874</v>
      </c>
      <c r="D725" s="1599" t="s">
        <v>3821</v>
      </c>
      <c r="E725" s="1867" t="s">
        <v>435</v>
      </c>
      <c r="F725" s="1562">
        <v>2</v>
      </c>
      <c r="G725" s="1562">
        <v>6251000</v>
      </c>
      <c r="H725" s="1562">
        <f t="shared" si="48"/>
        <v>12502000</v>
      </c>
      <c r="I725" s="1562">
        <v>2</v>
      </c>
      <c r="J725" s="1562">
        <v>6251000</v>
      </c>
      <c r="K725" s="1562">
        <f t="shared" si="46"/>
        <v>12502000</v>
      </c>
      <c r="L725" s="1562">
        <f t="shared" si="47"/>
        <v>0</v>
      </c>
      <c r="M725" s="1867" t="s">
        <v>3803</v>
      </c>
      <c r="N725" s="1867" t="s">
        <v>3804</v>
      </c>
    </row>
    <row r="726" spans="1:14">
      <c r="A726" s="1526">
        <v>608</v>
      </c>
      <c r="B726" s="1731">
        <v>69</v>
      </c>
      <c r="C726" s="1868" t="s">
        <v>3875</v>
      </c>
      <c r="D726" s="1599" t="s">
        <v>3876</v>
      </c>
      <c r="E726" s="1867" t="s">
        <v>435</v>
      </c>
      <c r="F726" s="1562">
        <v>2</v>
      </c>
      <c r="G726" s="1562">
        <v>2125000</v>
      </c>
      <c r="H726" s="1562">
        <f t="shared" si="48"/>
        <v>4250000</v>
      </c>
      <c r="I726" s="1562">
        <v>2</v>
      </c>
      <c r="J726" s="1562">
        <v>2125000</v>
      </c>
      <c r="K726" s="1562">
        <f t="shared" si="46"/>
        <v>4250000</v>
      </c>
      <c r="L726" s="1562">
        <f t="shared" si="47"/>
        <v>0</v>
      </c>
      <c r="M726" s="1867" t="s">
        <v>3803</v>
      </c>
      <c r="N726" s="1867" t="s">
        <v>3804</v>
      </c>
    </row>
    <row r="727" spans="1:14">
      <c r="A727" s="1526">
        <v>609</v>
      </c>
      <c r="B727" s="1731">
        <v>70</v>
      </c>
      <c r="C727" s="1868" t="s">
        <v>3877</v>
      </c>
      <c r="D727" s="1599" t="s">
        <v>3878</v>
      </c>
      <c r="E727" s="1867" t="s">
        <v>435</v>
      </c>
      <c r="F727" s="1562">
        <v>2</v>
      </c>
      <c r="G727" s="1562">
        <v>2450000</v>
      </c>
      <c r="H727" s="1562">
        <f t="shared" si="48"/>
        <v>4900000</v>
      </c>
      <c r="I727" s="1562">
        <v>2</v>
      </c>
      <c r="J727" s="1562">
        <v>2450000</v>
      </c>
      <c r="K727" s="1562">
        <f t="shared" si="46"/>
        <v>4900000</v>
      </c>
      <c r="L727" s="1562">
        <f t="shared" si="47"/>
        <v>0</v>
      </c>
      <c r="M727" s="1867" t="s">
        <v>3803</v>
      </c>
      <c r="N727" s="1867" t="s">
        <v>3804</v>
      </c>
    </row>
    <row r="728" spans="1:14">
      <c r="A728" s="1526">
        <v>610</v>
      </c>
      <c r="B728" s="1731">
        <v>71</v>
      </c>
      <c r="C728" s="1658" t="s">
        <v>3879</v>
      </c>
      <c r="D728" s="1599" t="s">
        <v>3880</v>
      </c>
      <c r="E728" s="1867" t="s">
        <v>435</v>
      </c>
      <c r="F728" s="1562">
        <v>50</v>
      </c>
      <c r="G728" s="1562">
        <v>1546000</v>
      </c>
      <c r="H728" s="1562">
        <f t="shared" si="48"/>
        <v>77300000</v>
      </c>
      <c r="I728" s="1562">
        <v>50</v>
      </c>
      <c r="J728" s="1562">
        <v>1546000</v>
      </c>
      <c r="K728" s="1562">
        <f t="shared" si="46"/>
        <v>77300000</v>
      </c>
      <c r="L728" s="1562">
        <f t="shared" si="47"/>
        <v>0</v>
      </c>
      <c r="M728" s="1867" t="s">
        <v>3803</v>
      </c>
      <c r="N728" s="1867" t="s">
        <v>3804</v>
      </c>
    </row>
    <row r="729" spans="1:14">
      <c r="A729" s="1526">
        <v>611</v>
      </c>
      <c r="B729" s="1731">
        <v>72</v>
      </c>
      <c r="C729" s="1658" t="s">
        <v>3881</v>
      </c>
      <c r="D729" s="1599" t="s">
        <v>3880</v>
      </c>
      <c r="E729" s="1867" t="s">
        <v>435</v>
      </c>
      <c r="F729" s="1562">
        <v>50</v>
      </c>
      <c r="G729" s="1562">
        <v>3706000</v>
      </c>
      <c r="H729" s="1562">
        <f t="shared" si="48"/>
        <v>185300000</v>
      </c>
      <c r="I729" s="1562">
        <v>50</v>
      </c>
      <c r="J729" s="1562">
        <v>3706000</v>
      </c>
      <c r="K729" s="1562">
        <f t="shared" si="46"/>
        <v>185300000</v>
      </c>
      <c r="L729" s="1562">
        <f t="shared" si="47"/>
        <v>0</v>
      </c>
      <c r="M729" s="1867" t="s">
        <v>3803</v>
      </c>
      <c r="N729" s="1867" t="s">
        <v>3804</v>
      </c>
    </row>
    <row r="730" spans="1:14">
      <c r="A730" s="1526">
        <v>612</v>
      </c>
      <c r="B730" s="1731">
        <v>73</v>
      </c>
      <c r="C730" s="1658" t="s">
        <v>3882</v>
      </c>
      <c r="D730" s="1599" t="s">
        <v>3821</v>
      </c>
      <c r="E730" s="1867" t="s">
        <v>435</v>
      </c>
      <c r="F730" s="1562">
        <v>15</v>
      </c>
      <c r="G730" s="1562">
        <v>6738000</v>
      </c>
      <c r="H730" s="1562">
        <f t="shared" si="48"/>
        <v>101070000</v>
      </c>
      <c r="I730" s="1562">
        <v>15</v>
      </c>
      <c r="J730" s="1562">
        <v>6738000</v>
      </c>
      <c r="K730" s="1562">
        <f t="shared" si="46"/>
        <v>101070000</v>
      </c>
      <c r="L730" s="1562">
        <f t="shared" si="47"/>
        <v>0</v>
      </c>
      <c r="M730" s="1867" t="s">
        <v>3803</v>
      </c>
      <c r="N730" s="1867" t="s">
        <v>3804</v>
      </c>
    </row>
    <row r="731" spans="1:14">
      <c r="A731" s="1526">
        <v>613</v>
      </c>
      <c r="B731" s="1731">
        <v>74</v>
      </c>
      <c r="C731" s="1658" t="s">
        <v>3883</v>
      </c>
      <c r="D731" s="1599" t="s">
        <v>3884</v>
      </c>
      <c r="E731" s="1867" t="s">
        <v>435</v>
      </c>
      <c r="F731" s="1562">
        <v>2</v>
      </c>
      <c r="G731" s="1562">
        <v>2405000</v>
      </c>
      <c r="H731" s="1562">
        <f t="shared" si="48"/>
        <v>4810000</v>
      </c>
      <c r="I731" s="1562">
        <v>2</v>
      </c>
      <c r="J731" s="1562">
        <v>2405000</v>
      </c>
      <c r="K731" s="1562">
        <f t="shared" si="46"/>
        <v>4810000</v>
      </c>
      <c r="L731" s="1562">
        <f t="shared" si="47"/>
        <v>0</v>
      </c>
      <c r="M731" s="1867" t="s">
        <v>3803</v>
      </c>
      <c r="N731" s="1867" t="s">
        <v>3804</v>
      </c>
    </row>
    <row r="732" spans="1:14">
      <c r="A732" s="1526">
        <v>614</v>
      </c>
      <c r="B732" s="1731">
        <v>75</v>
      </c>
      <c r="C732" s="1658" t="s">
        <v>3885</v>
      </c>
      <c r="D732" s="1599" t="s">
        <v>3540</v>
      </c>
      <c r="E732" s="1867" t="s">
        <v>435</v>
      </c>
      <c r="F732" s="1562">
        <v>2</v>
      </c>
      <c r="G732" s="1562">
        <v>2450000</v>
      </c>
      <c r="H732" s="1562">
        <f t="shared" si="48"/>
        <v>4900000</v>
      </c>
      <c r="I732" s="1562">
        <v>2</v>
      </c>
      <c r="J732" s="1562">
        <v>2450000</v>
      </c>
      <c r="K732" s="1562">
        <f t="shared" si="46"/>
        <v>4900000</v>
      </c>
      <c r="L732" s="1562">
        <f t="shared" si="47"/>
        <v>0</v>
      </c>
      <c r="M732" s="1867" t="s">
        <v>3803</v>
      </c>
      <c r="N732" s="1867" t="s">
        <v>3804</v>
      </c>
    </row>
    <row r="733" spans="1:14">
      <c r="A733" s="1526">
        <v>615</v>
      </c>
      <c r="B733" s="1731">
        <v>76</v>
      </c>
      <c r="C733" s="1658" t="s">
        <v>3886</v>
      </c>
      <c r="D733" s="1599" t="s">
        <v>3821</v>
      </c>
      <c r="E733" s="1867" t="s">
        <v>435</v>
      </c>
      <c r="F733" s="1562">
        <v>10</v>
      </c>
      <c r="G733" s="1562">
        <v>6300000</v>
      </c>
      <c r="H733" s="1562">
        <f t="shared" si="48"/>
        <v>63000000</v>
      </c>
      <c r="I733" s="1562">
        <v>10</v>
      </c>
      <c r="J733" s="1562">
        <v>6300000</v>
      </c>
      <c r="K733" s="1562">
        <f t="shared" si="46"/>
        <v>63000000</v>
      </c>
      <c r="L733" s="1562">
        <f t="shared" si="47"/>
        <v>0</v>
      </c>
      <c r="M733" s="1867" t="s">
        <v>3803</v>
      </c>
      <c r="N733" s="1867" t="s">
        <v>3804</v>
      </c>
    </row>
    <row r="734" spans="1:14">
      <c r="A734" s="1526">
        <v>616</v>
      </c>
      <c r="B734" s="1731">
        <v>77</v>
      </c>
      <c r="C734" s="1658" t="s">
        <v>3887</v>
      </c>
      <c r="D734" s="1599" t="s">
        <v>3540</v>
      </c>
      <c r="E734" s="1867" t="s">
        <v>435</v>
      </c>
      <c r="F734" s="1562">
        <v>2</v>
      </c>
      <c r="G734" s="1562">
        <v>2100000</v>
      </c>
      <c r="H734" s="1562">
        <f t="shared" si="48"/>
        <v>4200000</v>
      </c>
      <c r="I734" s="1562">
        <v>2</v>
      </c>
      <c r="J734" s="1562">
        <v>2100000</v>
      </c>
      <c r="K734" s="1562">
        <f t="shared" si="46"/>
        <v>4200000</v>
      </c>
      <c r="L734" s="1562">
        <f t="shared" si="47"/>
        <v>0</v>
      </c>
      <c r="M734" s="1867" t="s">
        <v>3803</v>
      </c>
      <c r="N734" s="1867" t="s">
        <v>3804</v>
      </c>
    </row>
    <row r="735" spans="1:14">
      <c r="A735" s="1526">
        <v>617</v>
      </c>
      <c r="B735" s="1731">
        <v>78</v>
      </c>
      <c r="C735" s="1658" t="s">
        <v>3888</v>
      </c>
      <c r="D735" s="1599" t="s">
        <v>3806</v>
      </c>
      <c r="E735" s="1867" t="s">
        <v>435</v>
      </c>
      <c r="F735" s="1562">
        <v>2</v>
      </c>
      <c r="G735" s="1562">
        <v>2400000</v>
      </c>
      <c r="H735" s="1562">
        <f t="shared" si="48"/>
        <v>4800000</v>
      </c>
      <c r="I735" s="1562">
        <v>2</v>
      </c>
      <c r="J735" s="1562">
        <v>2400000</v>
      </c>
      <c r="K735" s="1562">
        <f t="shared" si="46"/>
        <v>4800000</v>
      </c>
      <c r="L735" s="1562">
        <f t="shared" si="47"/>
        <v>0</v>
      </c>
      <c r="M735" s="1867" t="s">
        <v>3803</v>
      </c>
      <c r="N735" s="1867" t="s">
        <v>3804</v>
      </c>
    </row>
    <row r="736" spans="1:14">
      <c r="A736" s="1526">
        <v>618</v>
      </c>
      <c r="B736" s="1731">
        <v>79</v>
      </c>
      <c r="C736" s="1658" t="s">
        <v>3889</v>
      </c>
      <c r="D736" s="1599" t="s">
        <v>3821</v>
      </c>
      <c r="E736" s="1867" t="s">
        <v>435</v>
      </c>
      <c r="F736" s="1562">
        <v>2</v>
      </c>
      <c r="G736" s="1562">
        <v>9600000</v>
      </c>
      <c r="H736" s="1562">
        <f t="shared" si="48"/>
        <v>19200000</v>
      </c>
      <c r="I736" s="1562">
        <v>2</v>
      </c>
      <c r="J736" s="1562">
        <v>9600000</v>
      </c>
      <c r="K736" s="1562">
        <f t="shared" si="46"/>
        <v>19200000</v>
      </c>
      <c r="L736" s="1562">
        <f t="shared" si="47"/>
        <v>0</v>
      </c>
      <c r="M736" s="1867" t="s">
        <v>3803</v>
      </c>
      <c r="N736" s="1867" t="s">
        <v>3804</v>
      </c>
    </row>
    <row r="737" spans="1:14">
      <c r="A737" s="1526">
        <v>619</v>
      </c>
      <c r="B737" s="1731">
        <v>80</v>
      </c>
      <c r="C737" s="1658" t="s">
        <v>3890</v>
      </c>
      <c r="D737" s="1599" t="s">
        <v>3806</v>
      </c>
      <c r="E737" s="1867" t="s">
        <v>435</v>
      </c>
      <c r="F737" s="1562">
        <v>2</v>
      </c>
      <c r="G737" s="1562">
        <v>3050000</v>
      </c>
      <c r="H737" s="1562">
        <f t="shared" si="48"/>
        <v>6100000</v>
      </c>
      <c r="I737" s="1562">
        <v>2</v>
      </c>
      <c r="J737" s="1562">
        <v>3050000</v>
      </c>
      <c r="K737" s="1562">
        <f t="shared" si="46"/>
        <v>6100000</v>
      </c>
      <c r="L737" s="1562">
        <f t="shared" si="47"/>
        <v>0</v>
      </c>
      <c r="M737" s="1867" t="s">
        <v>3803</v>
      </c>
      <c r="N737" s="1867" t="s">
        <v>3804</v>
      </c>
    </row>
    <row r="738" spans="1:14">
      <c r="A738" s="1526">
        <v>620</v>
      </c>
      <c r="B738" s="1731">
        <v>81</v>
      </c>
      <c r="C738" s="1658" t="s">
        <v>3891</v>
      </c>
      <c r="D738" s="1599" t="s">
        <v>3540</v>
      </c>
      <c r="E738" s="1867" t="s">
        <v>435</v>
      </c>
      <c r="F738" s="1562">
        <v>2</v>
      </c>
      <c r="G738" s="1562">
        <v>2645000</v>
      </c>
      <c r="H738" s="1562">
        <f t="shared" si="48"/>
        <v>5290000</v>
      </c>
      <c r="I738" s="1562">
        <v>2</v>
      </c>
      <c r="J738" s="1562">
        <v>2645000</v>
      </c>
      <c r="K738" s="1562">
        <f t="shared" si="46"/>
        <v>5290000</v>
      </c>
      <c r="L738" s="1562">
        <f t="shared" si="47"/>
        <v>0</v>
      </c>
      <c r="M738" s="1867" t="s">
        <v>3803</v>
      </c>
      <c r="N738" s="1867" t="s">
        <v>3804</v>
      </c>
    </row>
    <row r="739" spans="1:14">
      <c r="A739" s="1526">
        <v>621</v>
      </c>
      <c r="B739" s="1731">
        <v>82</v>
      </c>
      <c r="C739" s="1658" t="s">
        <v>3892</v>
      </c>
      <c r="D739" s="1599" t="s">
        <v>3821</v>
      </c>
      <c r="E739" s="1867" t="s">
        <v>435</v>
      </c>
      <c r="F739" s="1562">
        <v>12</v>
      </c>
      <c r="G739" s="1562">
        <v>46381000</v>
      </c>
      <c r="H739" s="1562">
        <f t="shared" si="48"/>
        <v>556572000</v>
      </c>
      <c r="I739" s="1562">
        <v>12</v>
      </c>
      <c r="J739" s="1562">
        <v>46381000</v>
      </c>
      <c r="K739" s="1562">
        <f t="shared" si="46"/>
        <v>556572000</v>
      </c>
      <c r="L739" s="1562">
        <f t="shared" si="47"/>
        <v>0</v>
      </c>
      <c r="M739" s="1867" t="s">
        <v>3803</v>
      </c>
      <c r="N739" s="1867" t="s">
        <v>3804</v>
      </c>
    </row>
    <row r="740" spans="1:14">
      <c r="A740" s="1526">
        <v>622</v>
      </c>
      <c r="B740" s="1731">
        <v>83</v>
      </c>
      <c r="C740" s="1658" t="s">
        <v>3893</v>
      </c>
      <c r="D740" s="1599" t="s">
        <v>3806</v>
      </c>
      <c r="E740" s="1867" t="s">
        <v>435</v>
      </c>
      <c r="F740" s="1562">
        <v>2</v>
      </c>
      <c r="G740" s="1562">
        <v>3050000</v>
      </c>
      <c r="H740" s="1562">
        <f t="shared" si="48"/>
        <v>6100000</v>
      </c>
      <c r="I740" s="1562">
        <v>2</v>
      </c>
      <c r="J740" s="1562">
        <v>3050000</v>
      </c>
      <c r="K740" s="1562">
        <f t="shared" si="46"/>
        <v>6100000</v>
      </c>
      <c r="L740" s="1562">
        <f t="shared" si="47"/>
        <v>0</v>
      </c>
      <c r="M740" s="1867" t="s">
        <v>3803</v>
      </c>
      <c r="N740" s="1867" t="s">
        <v>3804</v>
      </c>
    </row>
    <row r="741" spans="1:14">
      <c r="A741" s="1526">
        <v>623</v>
      </c>
      <c r="B741" s="1731">
        <v>84</v>
      </c>
      <c r="C741" s="1658" t="s">
        <v>3894</v>
      </c>
      <c r="D741" s="1599" t="s">
        <v>3540</v>
      </c>
      <c r="E741" s="1867" t="s">
        <v>435</v>
      </c>
      <c r="F741" s="1562">
        <v>2</v>
      </c>
      <c r="G741" s="1562">
        <v>2645000</v>
      </c>
      <c r="H741" s="1562">
        <f t="shared" si="48"/>
        <v>5290000</v>
      </c>
      <c r="I741" s="1562">
        <v>2</v>
      </c>
      <c r="J741" s="1562">
        <v>2645000</v>
      </c>
      <c r="K741" s="1562">
        <f t="shared" si="46"/>
        <v>5290000</v>
      </c>
      <c r="L741" s="1562">
        <f t="shared" si="47"/>
        <v>0</v>
      </c>
      <c r="M741" s="1867" t="s">
        <v>3803</v>
      </c>
      <c r="N741" s="1867" t="s">
        <v>3804</v>
      </c>
    </row>
    <row r="742" spans="1:14">
      <c r="A742" s="1526">
        <v>624</v>
      </c>
      <c r="B742" s="1731">
        <v>85</v>
      </c>
      <c r="C742" s="1658" t="s">
        <v>3895</v>
      </c>
      <c r="D742" s="1599" t="s">
        <v>3177</v>
      </c>
      <c r="E742" s="1867" t="s">
        <v>435</v>
      </c>
      <c r="F742" s="1562">
        <v>4</v>
      </c>
      <c r="G742" s="1562">
        <v>6185000</v>
      </c>
      <c r="H742" s="1562">
        <f t="shared" si="48"/>
        <v>24740000</v>
      </c>
      <c r="I742" s="1562">
        <v>4</v>
      </c>
      <c r="J742" s="1562">
        <v>6185000</v>
      </c>
      <c r="K742" s="1562">
        <f t="shared" si="46"/>
        <v>24740000</v>
      </c>
      <c r="L742" s="1562">
        <f t="shared" si="47"/>
        <v>0</v>
      </c>
      <c r="M742" s="1867" t="s">
        <v>3803</v>
      </c>
      <c r="N742" s="1867" t="s">
        <v>3804</v>
      </c>
    </row>
    <row r="743" spans="1:14">
      <c r="A743" s="1526">
        <v>625</v>
      </c>
      <c r="B743" s="1731">
        <v>86</v>
      </c>
      <c r="C743" s="1658" t="s">
        <v>3896</v>
      </c>
      <c r="D743" s="1599" t="s">
        <v>3850</v>
      </c>
      <c r="E743" s="1867" t="s">
        <v>435</v>
      </c>
      <c r="F743" s="1562">
        <v>2</v>
      </c>
      <c r="G743" s="1562">
        <v>1030000</v>
      </c>
      <c r="H743" s="1562">
        <f t="shared" si="48"/>
        <v>2060000</v>
      </c>
      <c r="I743" s="1562">
        <v>2</v>
      </c>
      <c r="J743" s="1562">
        <v>1030000</v>
      </c>
      <c r="K743" s="1562">
        <f t="shared" si="46"/>
        <v>2060000</v>
      </c>
      <c r="L743" s="1562">
        <f t="shared" si="47"/>
        <v>0</v>
      </c>
      <c r="M743" s="1867" t="s">
        <v>3803</v>
      </c>
      <c r="N743" s="1867" t="s">
        <v>3804</v>
      </c>
    </row>
    <row r="744" spans="1:14">
      <c r="A744" s="1526">
        <v>626</v>
      </c>
      <c r="B744" s="1731">
        <v>87</v>
      </c>
      <c r="C744" s="1658" t="s">
        <v>3897</v>
      </c>
      <c r="D744" s="1599" t="s">
        <v>3898</v>
      </c>
      <c r="E744" s="1867" t="s">
        <v>435</v>
      </c>
      <c r="F744" s="1562">
        <v>4</v>
      </c>
      <c r="G744" s="1562">
        <v>4432000</v>
      </c>
      <c r="H744" s="1562">
        <f t="shared" si="48"/>
        <v>17728000</v>
      </c>
      <c r="I744" s="1562">
        <v>4</v>
      </c>
      <c r="J744" s="1562">
        <v>4432000</v>
      </c>
      <c r="K744" s="1562">
        <f t="shared" si="46"/>
        <v>17728000</v>
      </c>
      <c r="L744" s="1562">
        <f t="shared" si="47"/>
        <v>0</v>
      </c>
      <c r="M744" s="1867" t="s">
        <v>3803</v>
      </c>
      <c r="N744" s="1867" t="s">
        <v>3804</v>
      </c>
    </row>
    <row r="745" spans="1:14">
      <c r="A745" s="1526">
        <v>627</v>
      </c>
      <c r="B745" s="1731">
        <v>88</v>
      </c>
      <c r="C745" s="1658" t="s">
        <v>3899</v>
      </c>
      <c r="D745" s="1599" t="s">
        <v>3040</v>
      </c>
      <c r="E745" s="1867" t="s">
        <v>435</v>
      </c>
      <c r="F745" s="1562">
        <v>10</v>
      </c>
      <c r="G745" s="1562">
        <v>720000</v>
      </c>
      <c r="H745" s="1562">
        <f t="shared" si="48"/>
        <v>7200000</v>
      </c>
      <c r="I745" s="1562">
        <v>10</v>
      </c>
      <c r="J745" s="1562">
        <v>720000</v>
      </c>
      <c r="K745" s="1562">
        <f t="shared" si="46"/>
        <v>7200000</v>
      </c>
      <c r="L745" s="1562">
        <f t="shared" si="47"/>
        <v>0</v>
      </c>
      <c r="M745" s="1867" t="s">
        <v>3803</v>
      </c>
      <c r="N745" s="1867" t="s">
        <v>3804</v>
      </c>
    </row>
    <row r="746" spans="1:14">
      <c r="A746" s="1526">
        <v>628</v>
      </c>
      <c r="B746" s="1731">
        <v>89</v>
      </c>
      <c r="C746" s="1658" t="s">
        <v>3900</v>
      </c>
      <c r="D746" s="1599" t="s">
        <v>3901</v>
      </c>
      <c r="E746" s="1867" t="s">
        <v>435</v>
      </c>
      <c r="F746" s="1562">
        <v>50</v>
      </c>
      <c r="G746" s="1562">
        <v>2739000</v>
      </c>
      <c r="H746" s="1562">
        <f t="shared" si="48"/>
        <v>136950000</v>
      </c>
      <c r="I746" s="1562">
        <v>50</v>
      </c>
      <c r="J746" s="1562">
        <v>2739000</v>
      </c>
      <c r="K746" s="1562">
        <f t="shared" si="46"/>
        <v>136950000</v>
      </c>
      <c r="L746" s="1562">
        <f t="shared" si="47"/>
        <v>0</v>
      </c>
      <c r="M746" s="1867" t="s">
        <v>3803</v>
      </c>
      <c r="N746" s="1867" t="s">
        <v>3804</v>
      </c>
    </row>
    <row r="747" spans="1:14">
      <c r="A747" s="1526">
        <v>629</v>
      </c>
      <c r="B747" s="1731">
        <v>90</v>
      </c>
      <c r="C747" s="1871" t="s">
        <v>3902</v>
      </c>
      <c r="D747" s="1599" t="s">
        <v>3903</v>
      </c>
      <c r="E747" s="1867" t="s">
        <v>435</v>
      </c>
      <c r="F747" s="1562">
        <v>30</v>
      </c>
      <c r="G747" s="1562">
        <v>1185500</v>
      </c>
      <c r="H747" s="1562">
        <f t="shared" si="48"/>
        <v>35565000</v>
      </c>
      <c r="I747" s="1562">
        <v>30</v>
      </c>
      <c r="J747" s="1562">
        <v>1185500</v>
      </c>
      <c r="K747" s="1562">
        <f t="shared" si="46"/>
        <v>35565000</v>
      </c>
      <c r="L747" s="1562">
        <f t="shared" si="47"/>
        <v>0</v>
      </c>
      <c r="M747" s="1867" t="s">
        <v>3803</v>
      </c>
      <c r="N747" s="1867" t="s">
        <v>3804</v>
      </c>
    </row>
    <row r="748" spans="1:14">
      <c r="A748" s="1526">
        <v>630</v>
      </c>
      <c r="B748" s="1731">
        <v>91</v>
      </c>
      <c r="C748" s="1658" t="s">
        <v>3904</v>
      </c>
      <c r="D748" s="1872" t="s">
        <v>3905</v>
      </c>
      <c r="E748" s="1867" t="s">
        <v>435</v>
      </c>
      <c r="F748" s="1562">
        <v>5</v>
      </c>
      <c r="G748" s="1562">
        <v>30876000</v>
      </c>
      <c r="H748" s="1562">
        <f t="shared" si="48"/>
        <v>154380000</v>
      </c>
      <c r="I748" s="1562">
        <v>5</v>
      </c>
      <c r="J748" s="1562">
        <v>30876000</v>
      </c>
      <c r="K748" s="1562">
        <f t="shared" si="46"/>
        <v>154380000</v>
      </c>
      <c r="L748" s="1562">
        <f t="shared" si="47"/>
        <v>0</v>
      </c>
      <c r="M748" s="1867" t="s">
        <v>3906</v>
      </c>
      <c r="N748" s="1867" t="s">
        <v>3804</v>
      </c>
    </row>
    <row r="749" spans="1:14" ht="27">
      <c r="A749" s="1526">
        <v>631</v>
      </c>
      <c r="B749" s="1731">
        <v>92</v>
      </c>
      <c r="C749" s="1658" t="s">
        <v>3907</v>
      </c>
      <c r="D749" s="1872" t="s">
        <v>3908</v>
      </c>
      <c r="E749" s="1867" t="s">
        <v>435</v>
      </c>
      <c r="F749" s="1562">
        <v>2</v>
      </c>
      <c r="G749" s="1562">
        <v>2330000</v>
      </c>
      <c r="H749" s="1562">
        <f t="shared" si="48"/>
        <v>4660000</v>
      </c>
      <c r="I749" s="1562">
        <v>2</v>
      </c>
      <c r="J749" s="1562">
        <v>2330000</v>
      </c>
      <c r="K749" s="1562">
        <f t="shared" si="46"/>
        <v>4660000</v>
      </c>
      <c r="L749" s="1562">
        <f t="shared" si="47"/>
        <v>0</v>
      </c>
      <c r="M749" s="1867" t="s">
        <v>3906</v>
      </c>
      <c r="N749" s="1867" t="s">
        <v>3804</v>
      </c>
    </row>
    <row r="750" spans="1:14">
      <c r="A750" s="1526">
        <v>632</v>
      </c>
      <c r="B750" s="1731">
        <v>93</v>
      </c>
      <c r="C750" s="1658" t="s">
        <v>3909</v>
      </c>
      <c r="D750" s="1872" t="s">
        <v>3905</v>
      </c>
      <c r="E750" s="1867" t="s">
        <v>435</v>
      </c>
      <c r="F750" s="1562">
        <v>5</v>
      </c>
      <c r="G750" s="1562">
        <v>30876000</v>
      </c>
      <c r="H750" s="1562">
        <f t="shared" si="48"/>
        <v>154380000</v>
      </c>
      <c r="I750" s="1562">
        <v>5</v>
      </c>
      <c r="J750" s="1562">
        <v>30876000</v>
      </c>
      <c r="K750" s="1562">
        <f t="shared" si="46"/>
        <v>154380000</v>
      </c>
      <c r="L750" s="1562">
        <f t="shared" si="47"/>
        <v>0</v>
      </c>
      <c r="M750" s="1867" t="s">
        <v>3906</v>
      </c>
      <c r="N750" s="1867" t="s">
        <v>3804</v>
      </c>
    </row>
    <row r="751" spans="1:14" ht="27">
      <c r="A751" s="1526">
        <v>633</v>
      </c>
      <c r="B751" s="1731">
        <v>94</v>
      </c>
      <c r="C751" s="1658" t="s">
        <v>3910</v>
      </c>
      <c r="D751" s="1872" t="s">
        <v>3908</v>
      </c>
      <c r="E751" s="1867" t="s">
        <v>435</v>
      </c>
      <c r="F751" s="1562">
        <v>2</v>
      </c>
      <c r="G751" s="1562">
        <v>2330000</v>
      </c>
      <c r="H751" s="1562">
        <f t="shared" si="48"/>
        <v>4660000</v>
      </c>
      <c r="I751" s="1562">
        <v>2</v>
      </c>
      <c r="J751" s="1562">
        <v>2330000</v>
      </c>
      <c r="K751" s="1562">
        <f t="shared" si="46"/>
        <v>4660000</v>
      </c>
      <c r="L751" s="1562">
        <f t="shared" si="47"/>
        <v>0</v>
      </c>
      <c r="M751" s="1867" t="s">
        <v>3906</v>
      </c>
      <c r="N751" s="1867" t="s">
        <v>3804</v>
      </c>
    </row>
    <row r="752" spans="1:14">
      <c r="A752" s="1526">
        <v>634</v>
      </c>
      <c r="B752" s="1731">
        <v>95</v>
      </c>
      <c r="C752" s="1658" t="s">
        <v>3911</v>
      </c>
      <c r="D752" s="1872" t="s">
        <v>3905</v>
      </c>
      <c r="E752" s="1867" t="s">
        <v>435</v>
      </c>
      <c r="F752" s="1562">
        <v>5</v>
      </c>
      <c r="G752" s="1562">
        <v>30876000</v>
      </c>
      <c r="H752" s="1562">
        <f t="shared" si="48"/>
        <v>154380000</v>
      </c>
      <c r="I752" s="1562">
        <v>5</v>
      </c>
      <c r="J752" s="1562">
        <v>30876000</v>
      </c>
      <c r="K752" s="1562">
        <f t="shared" si="46"/>
        <v>154380000</v>
      </c>
      <c r="L752" s="1562">
        <f t="shared" si="47"/>
        <v>0</v>
      </c>
      <c r="M752" s="1867" t="s">
        <v>3906</v>
      </c>
      <c r="N752" s="1867" t="s">
        <v>3804</v>
      </c>
    </row>
    <row r="753" spans="1:14" ht="27">
      <c r="A753" s="1526">
        <v>635</v>
      </c>
      <c r="B753" s="1731">
        <v>96</v>
      </c>
      <c r="C753" s="1658" t="s">
        <v>3912</v>
      </c>
      <c r="D753" s="1872" t="s">
        <v>3908</v>
      </c>
      <c r="E753" s="1867" t="s">
        <v>435</v>
      </c>
      <c r="F753" s="1562">
        <v>2</v>
      </c>
      <c r="G753" s="1562">
        <v>2330000</v>
      </c>
      <c r="H753" s="1562">
        <f t="shared" si="48"/>
        <v>4660000</v>
      </c>
      <c r="I753" s="1562">
        <v>2</v>
      </c>
      <c r="J753" s="1562">
        <v>2330000</v>
      </c>
      <c r="K753" s="1562">
        <f t="shared" si="46"/>
        <v>4660000</v>
      </c>
      <c r="L753" s="1562">
        <f t="shared" si="47"/>
        <v>0</v>
      </c>
      <c r="M753" s="1867" t="s">
        <v>3906</v>
      </c>
      <c r="N753" s="1867" t="s">
        <v>3804</v>
      </c>
    </row>
    <row r="754" spans="1:14">
      <c r="A754" s="1526">
        <v>636</v>
      </c>
      <c r="B754" s="1731">
        <v>97</v>
      </c>
      <c r="C754" s="1658" t="s">
        <v>3913</v>
      </c>
      <c r="D754" s="1526" t="s">
        <v>3914</v>
      </c>
      <c r="E754" s="1867" t="s">
        <v>435</v>
      </c>
      <c r="F754" s="1562">
        <v>2</v>
      </c>
      <c r="G754" s="1562">
        <v>2645000</v>
      </c>
      <c r="H754" s="1562">
        <f t="shared" si="48"/>
        <v>5290000</v>
      </c>
      <c r="I754" s="1562">
        <v>2</v>
      </c>
      <c r="J754" s="1562">
        <v>2645000</v>
      </c>
      <c r="K754" s="1562">
        <f t="shared" si="46"/>
        <v>5290000</v>
      </c>
      <c r="L754" s="1562">
        <f t="shared" si="47"/>
        <v>0</v>
      </c>
      <c r="M754" s="1867" t="s">
        <v>3906</v>
      </c>
      <c r="N754" s="1867" t="s">
        <v>3804</v>
      </c>
    </row>
    <row r="755" spans="1:14">
      <c r="A755" s="1526">
        <v>637</v>
      </c>
      <c r="B755" s="1731">
        <v>98</v>
      </c>
      <c r="C755" s="1598" t="s">
        <v>3915</v>
      </c>
      <c r="D755" s="1526" t="s">
        <v>3916</v>
      </c>
      <c r="E755" s="1867" t="s">
        <v>435</v>
      </c>
      <c r="F755" s="1562">
        <v>2</v>
      </c>
      <c r="G755" s="1562">
        <v>123000</v>
      </c>
      <c r="H755" s="1562">
        <f t="shared" si="48"/>
        <v>246000</v>
      </c>
      <c r="I755" s="1562">
        <v>2</v>
      </c>
      <c r="J755" s="1562">
        <v>123000</v>
      </c>
      <c r="K755" s="1562">
        <f t="shared" si="46"/>
        <v>246000</v>
      </c>
      <c r="L755" s="1562">
        <f t="shared" si="47"/>
        <v>0</v>
      </c>
      <c r="M755" s="1867" t="s">
        <v>3906</v>
      </c>
      <c r="N755" s="1867" t="s">
        <v>3804</v>
      </c>
    </row>
    <row r="756" spans="1:14">
      <c r="A756" s="1526">
        <v>638</v>
      </c>
      <c r="B756" s="1731">
        <v>99</v>
      </c>
      <c r="C756" s="1658" t="s">
        <v>3917</v>
      </c>
      <c r="D756" s="1526" t="s">
        <v>3916</v>
      </c>
      <c r="E756" s="1867" t="s">
        <v>435</v>
      </c>
      <c r="F756" s="1562">
        <v>2</v>
      </c>
      <c r="G756" s="1562">
        <v>123000</v>
      </c>
      <c r="H756" s="1562">
        <f>G756*F756</f>
        <v>246000</v>
      </c>
      <c r="I756" s="1562">
        <v>2</v>
      </c>
      <c r="J756" s="1562">
        <v>123000</v>
      </c>
      <c r="K756" s="1562">
        <f t="shared" si="46"/>
        <v>246000</v>
      </c>
      <c r="L756" s="1562">
        <f t="shared" si="47"/>
        <v>0</v>
      </c>
      <c r="M756" s="1867" t="s">
        <v>3906</v>
      </c>
      <c r="N756" s="1867" t="s">
        <v>3804</v>
      </c>
    </row>
    <row r="757" spans="1:14" ht="27">
      <c r="A757" s="1526">
        <v>639</v>
      </c>
      <c r="B757" s="1731">
        <v>100</v>
      </c>
      <c r="C757" s="1658" t="s">
        <v>3918</v>
      </c>
      <c r="D757" s="1872" t="s">
        <v>3919</v>
      </c>
      <c r="E757" s="1867" t="s">
        <v>435</v>
      </c>
      <c r="F757" s="1562">
        <v>2</v>
      </c>
      <c r="G757" s="1562">
        <v>123000</v>
      </c>
      <c r="H757" s="1562">
        <f t="shared" si="48"/>
        <v>246000</v>
      </c>
      <c r="I757" s="1562">
        <v>2</v>
      </c>
      <c r="J757" s="1562">
        <v>123000</v>
      </c>
      <c r="K757" s="1562">
        <f t="shared" si="46"/>
        <v>246000</v>
      </c>
      <c r="L757" s="1562">
        <f t="shared" si="47"/>
        <v>0</v>
      </c>
      <c r="M757" s="1867" t="s">
        <v>3906</v>
      </c>
      <c r="N757" s="1867" t="s">
        <v>3804</v>
      </c>
    </row>
    <row r="758" spans="1:14" ht="18">
      <c r="A758" s="1526">
        <v>640</v>
      </c>
      <c r="B758" s="1731">
        <v>101</v>
      </c>
      <c r="C758" s="1658" t="s">
        <v>3920</v>
      </c>
      <c r="D758" s="1872" t="s">
        <v>3921</v>
      </c>
      <c r="E758" s="1867" t="s">
        <v>3073</v>
      </c>
      <c r="F758" s="1562">
        <v>4</v>
      </c>
      <c r="G758" s="1562">
        <v>2450000</v>
      </c>
      <c r="H758" s="1562">
        <f>G758*F758</f>
        <v>9800000</v>
      </c>
      <c r="I758" s="1562">
        <v>4</v>
      </c>
      <c r="J758" s="1562">
        <v>2450000</v>
      </c>
      <c r="K758" s="1562">
        <f t="shared" si="46"/>
        <v>9800000</v>
      </c>
      <c r="L758" s="1562">
        <f t="shared" si="47"/>
        <v>0</v>
      </c>
      <c r="M758" s="1867" t="s">
        <v>3922</v>
      </c>
      <c r="N758" s="1867" t="s">
        <v>3804</v>
      </c>
    </row>
    <row r="759" spans="1:14" ht="18">
      <c r="A759" s="1526">
        <v>641</v>
      </c>
      <c r="B759" s="1731">
        <v>102</v>
      </c>
      <c r="C759" s="1658" t="s">
        <v>3923</v>
      </c>
      <c r="D759" s="1872" t="s">
        <v>3924</v>
      </c>
      <c r="E759" s="1867" t="s">
        <v>3073</v>
      </c>
      <c r="F759" s="1562">
        <v>4</v>
      </c>
      <c r="G759" s="1562">
        <v>2405000</v>
      </c>
      <c r="H759" s="1562">
        <f t="shared" ref="H759:H822" si="49">G759*F759</f>
        <v>9620000</v>
      </c>
      <c r="I759" s="1562">
        <v>4</v>
      </c>
      <c r="J759" s="1562">
        <v>2405000</v>
      </c>
      <c r="K759" s="1562">
        <f t="shared" si="46"/>
        <v>9620000</v>
      </c>
      <c r="L759" s="1562">
        <f t="shared" si="47"/>
        <v>0</v>
      </c>
      <c r="M759" s="1867" t="s">
        <v>3922</v>
      </c>
      <c r="N759" s="1867" t="s">
        <v>3804</v>
      </c>
    </row>
    <row r="760" spans="1:14">
      <c r="A760" s="1526">
        <v>642</v>
      </c>
      <c r="B760" s="1731">
        <v>103</v>
      </c>
      <c r="C760" s="1658" t="s">
        <v>3925</v>
      </c>
      <c r="D760" s="1872" t="s">
        <v>3926</v>
      </c>
      <c r="E760" s="1867" t="s">
        <v>3073</v>
      </c>
      <c r="F760" s="1562">
        <v>200</v>
      </c>
      <c r="G760" s="1562">
        <v>3650000</v>
      </c>
      <c r="H760" s="1562">
        <f t="shared" si="49"/>
        <v>730000000</v>
      </c>
      <c r="I760" s="1562">
        <v>200</v>
      </c>
      <c r="J760" s="1562">
        <v>3650000</v>
      </c>
      <c r="K760" s="1562">
        <f t="shared" si="46"/>
        <v>730000000</v>
      </c>
      <c r="L760" s="1562">
        <f t="shared" si="47"/>
        <v>0</v>
      </c>
      <c r="M760" s="1867" t="s">
        <v>3922</v>
      </c>
      <c r="N760" s="1867" t="s">
        <v>3804</v>
      </c>
    </row>
    <row r="761" spans="1:14" ht="18">
      <c r="A761" s="1526">
        <v>643</v>
      </c>
      <c r="B761" s="1731">
        <v>104</v>
      </c>
      <c r="C761" s="1658" t="s">
        <v>3927</v>
      </c>
      <c r="D761" s="1872" t="s">
        <v>3928</v>
      </c>
      <c r="E761" s="1867" t="s">
        <v>3073</v>
      </c>
      <c r="F761" s="1562">
        <v>2</v>
      </c>
      <c r="G761" s="1562">
        <v>8316000</v>
      </c>
      <c r="H761" s="1562">
        <f t="shared" si="49"/>
        <v>16632000</v>
      </c>
      <c r="I761" s="1562">
        <v>2</v>
      </c>
      <c r="J761" s="1562">
        <v>8316000</v>
      </c>
      <c r="K761" s="1562">
        <f t="shared" si="46"/>
        <v>16632000</v>
      </c>
      <c r="L761" s="1562">
        <f t="shared" si="47"/>
        <v>0</v>
      </c>
      <c r="M761" s="1867" t="s">
        <v>3929</v>
      </c>
      <c r="N761" s="1867" t="s">
        <v>3804</v>
      </c>
    </row>
    <row r="762" spans="1:14" ht="36">
      <c r="A762" s="1526">
        <v>644</v>
      </c>
      <c r="B762" s="1731">
        <v>105</v>
      </c>
      <c r="C762" s="1658" t="s">
        <v>3930</v>
      </c>
      <c r="D762" s="1872" t="s">
        <v>3931</v>
      </c>
      <c r="E762" s="1867" t="s">
        <v>3073</v>
      </c>
      <c r="F762" s="1562">
        <v>2</v>
      </c>
      <c r="G762" s="1562">
        <v>3465000</v>
      </c>
      <c r="H762" s="1562">
        <f t="shared" si="49"/>
        <v>6930000</v>
      </c>
      <c r="I762" s="1562">
        <v>2</v>
      </c>
      <c r="J762" s="1562">
        <v>3465000</v>
      </c>
      <c r="K762" s="1562">
        <f t="shared" si="46"/>
        <v>6930000</v>
      </c>
      <c r="L762" s="1562">
        <f t="shared" si="47"/>
        <v>0</v>
      </c>
      <c r="M762" s="1867" t="s">
        <v>3929</v>
      </c>
      <c r="N762" s="1867" t="s">
        <v>3804</v>
      </c>
    </row>
    <row r="763" spans="1:14">
      <c r="A763" s="1526">
        <v>645</v>
      </c>
      <c r="B763" s="1731">
        <v>106</v>
      </c>
      <c r="C763" s="1658" t="s">
        <v>3932</v>
      </c>
      <c r="D763" s="1872" t="s">
        <v>3926</v>
      </c>
      <c r="E763" s="1867" t="s">
        <v>3073</v>
      </c>
      <c r="F763" s="1562">
        <v>3</v>
      </c>
      <c r="G763" s="1562">
        <v>30030000</v>
      </c>
      <c r="H763" s="1562">
        <f t="shared" si="49"/>
        <v>90090000</v>
      </c>
      <c r="I763" s="1562">
        <v>3</v>
      </c>
      <c r="J763" s="1562">
        <v>30030000</v>
      </c>
      <c r="K763" s="1562">
        <f t="shared" si="46"/>
        <v>90090000</v>
      </c>
      <c r="L763" s="1562">
        <f t="shared" si="47"/>
        <v>0</v>
      </c>
      <c r="M763" s="1867" t="s">
        <v>3929</v>
      </c>
      <c r="N763" s="1867" t="s">
        <v>3804</v>
      </c>
    </row>
    <row r="764" spans="1:14" ht="18">
      <c r="A764" s="1526">
        <v>646</v>
      </c>
      <c r="B764" s="1731">
        <v>107</v>
      </c>
      <c r="C764" s="1658" t="s">
        <v>3933</v>
      </c>
      <c r="D764" s="1872" t="s">
        <v>3934</v>
      </c>
      <c r="E764" s="1867" t="s">
        <v>3073</v>
      </c>
      <c r="F764" s="1562">
        <v>2</v>
      </c>
      <c r="G764" s="1562">
        <v>2263800</v>
      </c>
      <c r="H764" s="1562">
        <f t="shared" si="49"/>
        <v>4527600</v>
      </c>
      <c r="I764" s="1562">
        <v>2</v>
      </c>
      <c r="J764" s="1562">
        <v>2263800</v>
      </c>
      <c r="K764" s="1562">
        <f t="shared" si="46"/>
        <v>4527600</v>
      </c>
      <c r="L764" s="1562">
        <f t="shared" si="47"/>
        <v>0</v>
      </c>
      <c r="M764" s="1867" t="s">
        <v>3922</v>
      </c>
      <c r="N764" s="1867" t="s">
        <v>3804</v>
      </c>
    </row>
    <row r="765" spans="1:14" ht="18">
      <c r="A765" s="1526">
        <v>647</v>
      </c>
      <c r="B765" s="1731">
        <v>108</v>
      </c>
      <c r="C765" s="1658" t="s">
        <v>3935</v>
      </c>
      <c r="D765" s="1872" t="s">
        <v>3936</v>
      </c>
      <c r="E765" s="1867" t="s">
        <v>3073</v>
      </c>
      <c r="F765" s="1562">
        <v>2</v>
      </c>
      <c r="G765" s="1562">
        <v>1963500</v>
      </c>
      <c r="H765" s="1562">
        <f t="shared" si="49"/>
        <v>3927000</v>
      </c>
      <c r="I765" s="1562">
        <v>2</v>
      </c>
      <c r="J765" s="1562">
        <v>1963500</v>
      </c>
      <c r="K765" s="1562">
        <f t="shared" si="46"/>
        <v>3927000</v>
      </c>
      <c r="L765" s="1562">
        <f t="shared" si="47"/>
        <v>0</v>
      </c>
      <c r="M765" s="1867" t="s">
        <v>3922</v>
      </c>
      <c r="N765" s="1867" t="s">
        <v>3804</v>
      </c>
    </row>
    <row r="766" spans="1:14">
      <c r="A766" s="1526">
        <v>648</v>
      </c>
      <c r="B766" s="1731">
        <v>109</v>
      </c>
      <c r="C766" s="1658" t="s">
        <v>3937</v>
      </c>
      <c r="D766" s="1872">
        <v>100</v>
      </c>
      <c r="E766" s="1867" t="s">
        <v>3073</v>
      </c>
      <c r="F766" s="1562">
        <v>3</v>
      </c>
      <c r="G766" s="1562">
        <v>5775000</v>
      </c>
      <c r="H766" s="1562">
        <f t="shared" si="49"/>
        <v>17325000</v>
      </c>
      <c r="I766" s="1562">
        <v>3</v>
      </c>
      <c r="J766" s="1562">
        <v>5775000</v>
      </c>
      <c r="K766" s="1562">
        <f t="shared" si="46"/>
        <v>17325000</v>
      </c>
      <c r="L766" s="1562">
        <f t="shared" si="47"/>
        <v>0</v>
      </c>
      <c r="M766" s="1867" t="s">
        <v>3922</v>
      </c>
      <c r="N766" s="1867" t="s">
        <v>3804</v>
      </c>
    </row>
    <row r="767" spans="1:14" ht="18">
      <c r="A767" s="1526">
        <v>649</v>
      </c>
      <c r="B767" s="1731">
        <v>110</v>
      </c>
      <c r="C767" s="1658" t="s">
        <v>3938</v>
      </c>
      <c r="D767" s="1872" t="s">
        <v>3934</v>
      </c>
      <c r="E767" s="1867" t="s">
        <v>3073</v>
      </c>
      <c r="F767" s="1562">
        <v>2</v>
      </c>
      <c r="G767" s="1562">
        <v>2263800</v>
      </c>
      <c r="H767" s="1562">
        <f t="shared" si="49"/>
        <v>4527600</v>
      </c>
      <c r="I767" s="1562">
        <v>2</v>
      </c>
      <c r="J767" s="1562">
        <v>2263800</v>
      </c>
      <c r="K767" s="1562">
        <f t="shared" si="46"/>
        <v>4527600</v>
      </c>
      <c r="L767" s="1562">
        <f t="shared" si="47"/>
        <v>0</v>
      </c>
      <c r="M767" s="1867" t="s">
        <v>3922</v>
      </c>
      <c r="N767" s="1867" t="s">
        <v>3804</v>
      </c>
    </row>
    <row r="768" spans="1:14" ht="18">
      <c r="A768" s="1526">
        <v>650</v>
      </c>
      <c r="B768" s="1731">
        <v>111</v>
      </c>
      <c r="C768" s="1658" t="s">
        <v>3939</v>
      </c>
      <c r="D768" s="1872" t="s">
        <v>3936</v>
      </c>
      <c r="E768" s="1867" t="s">
        <v>3073</v>
      </c>
      <c r="F768" s="1562">
        <v>2</v>
      </c>
      <c r="G768" s="1562">
        <v>1963500</v>
      </c>
      <c r="H768" s="1562">
        <f t="shared" si="49"/>
        <v>3927000</v>
      </c>
      <c r="I768" s="1562">
        <v>2</v>
      </c>
      <c r="J768" s="1562">
        <v>1963500</v>
      </c>
      <c r="K768" s="1562">
        <f t="shared" si="46"/>
        <v>3927000</v>
      </c>
      <c r="L768" s="1562">
        <f t="shared" si="47"/>
        <v>0</v>
      </c>
      <c r="M768" s="1867" t="s">
        <v>3922</v>
      </c>
      <c r="N768" s="1867" t="s">
        <v>3804</v>
      </c>
    </row>
    <row r="769" spans="1:14">
      <c r="A769" s="1526">
        <v>651</v>
      </c>
      <c r="B769" s="1731">
        <v>112</v>
      </c>
      <c r="C769" s="1658" t="s">
        <v>3940</v>
      </c>
      <c r="D769" s="1872" t="s">
        <v>3035</v>
      </c>
      <c r="E769" s="1867" t="s">
        <v>3073</v>
      </c>
      <c r="F769" s="1562">
        <v>3</v>
      </c>
      <c r="G769" s="1562">
        <v>5775000</v>
      </c>
      <c r="H769" s="1562">
        <f t="shared" si="49"/>
        <v>17325000</v>
      </c>
      <c r="I769" s="1562">
        <v>3</v>
      </c>
      <c r="J769" s="1562">
        <v>5775000</v>
      </c>
      <c r="K769" s="1562">
        <f t="shared" si="46"/>
        <v>17325000</v>
      </c>
      <c r="L769" s="1562">
        <f t="shared" si="47"/>
        <v>0</v>
      </c>
      <c r="M769" s="1867" t="s">
        <v>3922</v>
      </c>
      <c r="N769" s="1867" t="s">
        <v>3804</v>
      </c>
    </row>
    <row r="770" spans="1:14" ht="18">
      <c r="A770" s="1526">
        <v>652</v>
      </c>
      <c r="B770" s="1731">
        <v>113</v>
      </c>
      <c r="C770" s="1658" t="s">
        <v>3941</v>
      </c>
      <c r="D770" s="1872" t="s">
        <v>3934</v>
      </c>
      <c r="E770" s="1867" t="s">
        <v>3073</v>
      </c>
      <c r="F770" s="1562">
        <v>2</v>
      </c>
      <c r="G770" s="1562">
        <v>2263800</v>
      </c>
      <c r="H770" s="1562">
        <f t="shared" si="49"/>
        <v>4527600</v>
      </c>
      <c r="I770" s="1562">
        <v>2</v>
      </c>
      <c r="J770" s="1562">
        <v>2263800</v>
      </c>
      <c r="K770" s="1562">
        <f t="shared" si="46"/>
        <v>4527600</v>
      </c>
      <c r="L770" s="1562">
        <f t="shared" si="47"/>
        <v>0</v>
      </c>
      <c r="M770" s="1867" t="s">
        <v>3922</v>
      </c>
      <c r="N770" s="1867" t="s">
        <v>3804</v>
      </c>
    </row>
    <row r="771" spans="1:14" ht="18">
      <c r="A771" s="1526">
        <v>653</v>
      </c>
      <c r="B771" s="1731">
        <v>114</v>
      </c>
      <c r="C771" s="1658" t="s">
        <v>3942</v>
      </c>
      <c r="D771" s="1872" t="s">
        <v>3936</v>
      </c>
      <c r="E771" s="1867" t="s">
        <v>3073</v>
      </c>
      <c r="F771" s="1562">
        <v>2</v>
      </c>
      <c r="G771" s="1562">
        <v>1963500</v>
      </c>
      <c r="H771" s="1562">
        <f t="shared" si="49"/>
        <v>3927000</v>
      </c>
      <c r="I771" s="1562">
        <v>2</v>
      </c>
      <c r="J771" s="1562">
        <v>1963500</v>
      </c>
      <c r="K771" s="1562">
        <f t="shared" si="46"/>
        <v>3927000</v>
      </c>
      <c r="L771" s="1562">
        <f t="shared" si="47"/>
        <v>0</v>
      </c>
      <c r="M771" s="1867" t="s">
        <v>3922</v>
      </c>
      <c r="N771" s="1867" t="s">
        <v>3804</v>
      </c>
    </row>
    <row r="772" spans="1:14">
      <c r="A772" s="1526">
        <v>654</v>
      </c>
      <c r="B772" s="1731">
        <v>115</v>
      </c>
      <c r="C772" s="1658" t="s">
        <v>3943</v>
      </c>
      <c r="D772" s="1872" t="s">
        <v>3035</v>
      </c>
      <c r="E772" s="1867" t="s">
        <v>3073</v>
      </c>
      <c r="F772" s="1562">
        <v>3</v>
      </c>
      <c r="G772" s="1562">
        <v>5775000</v>
      </c>
      <c r="H772" s="1562">
        <f t="shared" si="49"/>
        <v>17325000</v>
      </c>
      <c r="I772" s="1562">
        <v>3</v>
      </c>
      <c r="J772" s="1562">
        <v>5775000</v>
      </c>
      <c r="K772" s="1562">
        <f t="shared" si="46"/>
        <v>17325000</v>
      </c>
      <c r="L772" s="1562">
        <f t="shared" si="47"/>
        <v>0</v>
      </c>
      <c r="M772" s="1867" t="s">
        <v>3922</v>
      </c>
      <c r="N772" s="1867" t="s">
        <v>3804</v>
      </c>
    </row>
    <row r="773" spans="1:14">
      <c r="A773" s="1526">
        <v>655</v>
      </c>
      <c r="B773" s="1731">
        <v>116</v>
      </c>
      <c r="C773" s="1658" t="s">
        <v>3944</v>
      </c>
      <c r="D773" s="1872" t="s">
        <v>3945</v>
      </c>
      <c r="E773" s="1867" t="s">
        <v>3073</v>
      </c>
      <c r="F773" s="1562">
        <v>4</v>
      </c>
      <c r="G773" s="1562">
        <v>2450000</v>
      </c>
      <c r="H773" s="1562">
        <f t="shared" si="49"/>
        <v>9800000</v>
      </c>
      <c r="I773" s="1562">
        <v>4</v>
      </c>
      <c r="J773" s="1562">
        <v>2450000</v>
      </c>
      <c r="K773" s="1562">
        <f t="shared" si="46"/>
        <v>9800000</v>
      </c>
      <c r="L773" s="1562">
        <f t="shared" si="47"/>
        <v>0</v>
      </c>
      <c r="M773" s="1867" t="s">
        <v>3922</v>
      </c>
      <c r="N773" s="1867" t="s">
        <v>3804</v>
      </c>
    </row>
    <row r="774" spans="1:14" ht="18">
      <c r="A774" s="1526">
        <v>656</v>
      </c>
      <c r="B774" s="1731">
        <v>117</v>
      </c>
      <c r="C774" s="1658" t="s">
        <v>3946</v>
      </c>
      <c r="D774" s="1872" t="s">
        <v>3947</v>
      </c>
      <c r="E774" s="1867" t="s">
        <v>3073</v>
      </c>
      <c r="F774" s="1562">
        <v>4</v>
      </c>
      <c r="G774" s="1562">
        <v>2405000</v>
      </c>
      <c r="H774" s="1562">
        <f t="shared" si="49"/>
        <v>9620000</v>
      </c>
      <c r="I774" s="1562">
        <v>4</v>
      </c>
      <c r="J774" s="1562">
        <v>2405000</v>
      </c>
      <c r="K774" s="1562">
        <f t="shared" si="46"/>
        <v>9620000</v>
      </c>
      <c r="L774" s="1562">
        <f t="shared" si="47"/>
        <v>0</v>
      </c>
      <c r="M774" s="1867" t="s">
        <v>3922</v>
      </c>
      <c r="N774" s="1867" t="s">
        <v>3804</v>
      </c>
    </row>
    <row r="775" spans="1:14">
      <c r="A775" s="1526">
        <v>657</v>
      </c>
      <c r="B775" s="1731">
        <v>118</v>
      </c>
      <c r="C775" s="1658" t="s">
        <v>3948</v>
      </c>
      <c r="D775" s="1872" t="s">
        <v>3905</v>
      </c>
      <c r="E775" s="1867" t="s">
        <v>3073</v>
      </c>
      <c r="F775" s="1562">
        <v>200</v>
      </c>
      <c r="G775" s="1562">
        <v>4201949</v>
      </c>
      <c r="H775" s="1562">
        <f t="shared" si="49"/>
        <v>840389800</v>
      </c>
      <c r="I775" s="1562">
        <v>200</v>
      </c>
      <c r="J775" s="1562">
        <v>4201949</v>
      </c>
      <c r="K775" s="1562">
        <f t="shared" si="46"/>
        <v>840389800</v>
      </c>
      <c r="L775" s="1562">
        <f t="shared" si="47"/>
        <v>0</v>
      </c>
      <c r="M775" s="1867" t="s">
        <v>3922</v>
      </c>
      <c r="N775" s="1867" t="s">
        <v>3804</v>
      </c>
    </row>
    <row r="776" spans="1:14" ht="18">
      <c r="A776" s="1526">
        <v>658</v>
      </c>
      <c r="B776" s="1731">
        <v>119</v>
      </c>
      <c r="C776" s="1658" t="s">
        <v>3949</v>
      </c>
      <c r="D776" s="1872" t="s">
        <v>3950</v>
      </c>
      <c r="E776" s="1867" t="s">
        <v>3073</v>
      </c>
      <c r="F776" s="1562">
        <v>2</v>
      </c>
      <c r="G776" s="1562">
        <v>2263800</v>
      </c>
      <c r="H776" s="1562">
        <f t="shared" si="49"/>
        <v>4527600</v>
      </c>
      <c r="I776" s="1562">
        <v>2</v>
      </c>
      <c r="J776" s="1562">
        <v>2263800</v>
      </c>
      <c r="K776" s="1562">
        <f t="shared" si="46"/>
        <v>4527600</v>
      </c>
      <c r="L776" s="1562">
        <f t="shared" si="47"/>
        <v>0</v>
      </c>
      <c r="M776" s="1867" t="s">
        <v>3929</v>
      </c>
      <c r="N776" s="1867" t="s">
        <v>3804</v>
      </c>
    </row>
    <row r="777" spans="1:14" ht="18">
      <c r="A777" s="1526">
        <v>659</v>
      </c>
      <c r="B777" s="1731">
        <v>120</v>
      </c>
      <c r="C777" s="1658" t="s">
        <v>3951</v>
      </c>
      <c r="D777" s="1872" t="s">
        <v>3952</v>
      </c>
      <c r="E777" s="1867" t="s">
        <v>3073</v>
      </c>
      <c r="F777" s="1562">
        <v>2</v>
      </c>
      <c r="G777" s="1562">
        <v>1963500</v>
      </c>
      <c r="H777" s="1562">
        <f t="shared" si="49"/>
        <v>3927000</v>
      </c>
      <c r="I777" s="1562">
        <v>2</v>
      </c>
      <c r="J777" s="1562">
        <v>1963500</v>
      </c>
      <c r="K777" s="1562">
        <f t="shared" si="46"/>
        <v>3927000</v>
      </c>
      <c r="L777" s="1562">
        <f t="shared" si="47"/>
        <v>0</v>
      </c>
      <c r="M777" s="1867" t="s">
        <v>3929</v>
      </c>
      <c r="N777" s="1867" t="s">
        <v>3804</v>
      </c>
    </row>
    <row r="778" spans="1:14">
      <c r="A778" s="1526">
        <v>660</v>
      </c>
      <c r="B778" s="1731">
        <v>121</v>
      </c>
      <c r="C778" s="1658" t="s">
        <v>3953</v>
      </c>
      <c r="D778" s="1872" t="s">
        <v>3905</v>
      </c>
      <c r="E778" s="1867" t="s">
        <v>3073</v>
      </c>
      <c r="F778" s="1562">
        <v>3</v>
      </c>
      <c r="G778" s="1562">
        <v>6953100</v>
      </c>
      <c r="H778" s="1562">
        <f t="shared" si="49"/>
        <v>20859300</v>
      </c>
      <c r="I778" s="1562">
        <v>3</v>
      </c>
      <c r="J778" s="1562">
        <v>6953100</v>
      </c>
      <c r="K778" s="1562">
        <f t="shared" si="46"/>
        <v>20859300</v>
      </c>
      <c r="L778" s="1562">
        <f t="shared" si="47"/>
        <v>0</v>
      </c>
      <c r="M778" s="1867" t="s">
        <v>3929</v>
      </c>
      <c r="N778" s="1867" t="s">
        <v>3804</v>
      </c>
    </row>
    <row r="779" spans="1:14" ht="18">
      <c r="A779" s="1526">
        <v>661</v>
      </c>
      <c r="B779" s="1731">
        <v>122</v>
      </c>
      <c r="C779" s="1658" t="s">
        <v>3954</v>
      </c>
      <c r="D779" s="1872" t="s">
        <v>3955</v>
      </c>
      <c r="E779" s="1867" t="s">
        <v>3073</v>
      </c>
      <c r="F779" s="1562">
        <v>2</v>
      </c>
      <c r="G779" s="1562">
        <v>2263800</v>
      </c>
      <c r="H779" s="1562">
        <f t="shared" si="49"/>
        <v>4527600</v>
      </c>
      <c r="I779" s="1562">
        <v>2</v>
      </c>
      <c r="J779" s="1562">
        <v>2263800</v>
      </c>
      <c r="K779" s="1562">
        <f t="shared" si="46"/>
        <v>4527600</v>
      </c>
      <c r="L779" s="1562">
        <f t="shared" si="47"/>
        <v>0</v>
      </c>
      <c r="M779" s="1867" t="s">
        <v>3929</v>
      </c>
      <c r="N779" s="1867" t="s">
        <v>3804</v>
      </c>
    </row>
    <row r="780" spans="1:14" ht="18">
      <c r="A780" s="1526">
        <v>662</v>
      </c>
      <c r="B780" s="1731">
        <v>123</v>
      </c>
      <c r="C780" s="1658" t="s">
        <v>3956</v>
      </c>
      <c r="D780" s="1872" t="s">
        <v>3957</v>
      </c>
      <c r="E780" s="1867" t="s">
        <v>3073</v>
      </c>
      <c r="F780" s="1562">
        <v>2</v>
      </c>
      <c r="G780" s="1562">
        <v>1963500</v>
      </c>
      <c r="H780" s="1562">
        <f t="shared" si="49"/>
        <v>3927000</v>
      </c>
      <c r="I780" s="1562">
        <v>2</v>
      </c>
      <c r="J780" s="1562">
        <v>1963500</v>
      </c>
      <c r="K780" s="1562">
        <f t="shared" si="46"/>
        <v>3927000</v>
      </c>
      <c r="L780" s="1562">
        <f t="shared" si="47"/>
        <v>0</v>
      </c>
      <c r="M780" s="1867" t="s">
        <v>3929</v>
      </c>
      <c r="N780" s="1867" t="s">
        <v>3804</v>
      </c>
    </row>
    <row r="781" spans="1:14">
      <c r="A781" s="1526">
        <v>663</v>
      </c>
      <c r="B781" s="1731">
        <v>124</v>
      </c>
      <c r="C781" s="1658" t="s">
        <v>3958</v>
      </c>
      <c r="D781" s="1872" t="s">
        <v>3905</v>
      </c>
      <c r="E781" s="1867" t="s">
        <v>3073</v>
      </c>
      <c r="F781" s="1562">
        <v>3</v>
      </c>
      <c r="G781" s="1562">
        <v>9309300</v>
      </c>
      <c r="H781" s="1562">
        <f t="shared" si="49"/>
        <v>27927900</v>
      </c>
      <c r="I781" s="1562">
        <v>3</v>
      </c>
      <c r="J781" s="1562">
        <v>9309300</v>
      </c>
      <c r="K781" s="1562">
        <f t="shared" si="46"/>
        <v>27927900</v>
      </c>
      <c r="L781" s="1562">
        <f t="shared" si="47"/>
        <v>0</v>
      </c>
      <c r="M781" s="1867" t="s">
        <v>3929</v>
      </c>
      <c r="N781" s="1867" t="s">
        <v>3804</v>
      </c>
    </row>
    <row r="782" spans="1:14" ht="18">
      <c r="A782" s="1526">
        <v>664</v>
      </c>
      <c r="B782" s="1731">
        <v>125</v>
      </c>
      <c r="C782" s="1658" t="s">
        <v>3959</v>
      </c>
      <c r="D782" s="1872" t="s">
        <v>3960</v>
      </c>
      <c r="E782" s="1867" t="s">
        <v>3073</v>
      </c>
      <c r="F782" s="1562">
        <v>2</v>
      </c>
      <c r="G782" s="1562">
        <v>2263800</v>
      </c>
      <c r="H782" s="1562">
        <f t="shared" si="49"/>
        <v>4527600</v>
      </c>
      <c r="I782" s="1562">
        <v>2</v>
      </c>
      <c r="J782" s="1562">
        <v>2263800</v>
      </c>
      <c r="K782" s="1562">
        <f t="shared" si="46"/>
        <v>4527600</v>
      </c>
      <c r="L782" s="1562">
        <f t="shared" si="47"/>
        <v>0</v>
      </c>
      <c r="M782" s="1867" t="s">
        <v>3922</v>
      </c>
      <c r="N782" s="1867" t="s">
        <v>3804</v>
      </c>
    </row>
    <row r="783" spans="1:14" ht="18">
      <c r="A783" s="1526">
        <v>665</v>
      </c>
      <c r="B783" s="1731">
        <v>126</v>
      </c>
      <c r="C783" s="1658" t="s">
        <v>3961</v>
      </c>
      <c r="D783" s="1872" t="s">
        <v>3952</v>
      </c>
      <c r="E783" s="1867" t="s">
        <v>3073</v>
      </c>
      <c r="F783" s="1562">
        <v>2</v>
      </c>
      <c r="G783" s="1562">
        <v>1963500</v>
      </c>
      <c r="H783" s="1562">
        <f t="shared" si="49"/>
        <v>3927000</v>
      </c>
      <c r="I783" s="1562">
        <v>2</v>
      </c>
      <c r="J783" s="1562">
        <v>1963500</v>
      </c>
      <c r="K783" s="1562">
        <f t="shared" si="46"/>
        <v>3927000</v>
      </c>
      <c r="L783" s="1562">
        <f t="shared" si="47"/>
        <v>0</v>
      </c>
      <c r="M783" s="1867" t="s">
        <v>3922</v>
      </c>
      <c r="N783" s="1867" t="s">
        <v>3804</v>
      </c>
    </row>
    <row r="784" spans="1:14">
      <c r="A784" s="1526">
        <v>666</v>
      </c>
      <c r="B784" s="1731">
        <v>127</v>
      </c>
      <c r="C784" s="1658" t="s">
        <v>3962</v>
      </c>
      <c r="D784" s="1872" t="s">
        <v>3905</v>
      </c>
      <c r="E784" s="1867" t="s">
        <v>3073</v>
      </c>
      <c r="F784" s="1562">
        <v>3</v>
      </c>
      <c r="G784" s="1562">
        <v>5068140</v>
      </c>
      <c r="H784" s="1562">
        <f t="shared" si="49"/>
        <v>15204420</v>
      </c>
      <c r="I784" s="1562">
        <v>3</v>
      </c>
      <c r="J784" s="1562">
        <v>5068140</v>
      </c>
      <c r="K784" s="1562">
        <f t="shared" si="46"/>
        <v>15204420</v>
      </c>
      <c r="L784" s="1562">
        <f t="shared" si="47"/>
        <v>0</v>
      </c>
      <c r="M784" s="1867" t="s">
        <v>3922</v>
      </c>
      <c r="N784" s="1867" t="s">
        <v>3804</v>
      </c>
    </row>
    <row r="785" spans="1:14" ht="18">
      <c r="A785" s="1526">
        <v>667</v>
      </c>
      <c r="B785" s="1731">
        <v>128</v>
      </c>
      <c r="C785" s="1658" t="s">
        <v>3963</v>
      </c>
      <c r="D785" s="1872" t="s">
        <v>3964</v>
      </c>
      <c r="E785" s="1867" t="s">
        <v>3073</v>
      </c>
      <c r="F785" s="1562">
        <v>2</v>
      </c>
      <c r="G785" s="1562">
        <v>2263800</v>
      </c>
      <c r="H785" s="1562">
        <f t="shared" si="49"/>
        <v>4527600</v>
      </c>
      <c r="I785" s="1562">
        <v>2</v>
      </c>
      <c r="J785" s="1562">
        <v>2263800</v>
      </c>
      <c r="K785" s="1562">
        <f t="shared" si="46"/>
        <v>4527600</v>
      </c>
      <c r="L785" s="1562">
        <f t="shared" si="47"/>
        <v>0</v>
      </c>
      <c r="M785" s="1867" t="s">
        <v>3929</v>
      </c>
      <c r="N785" s="1867" t="s">
        <v>3804</v>
      </c>
    </row>
    <row r="786" spans="1:14" ht="18">
      <c r="A786" s="1526">
        <v>668</v>
      </c>
      <c r="B786" s="1731">
        <v>129</v>
      </c>
      <c r="C786" s="1658" t="s">
        <v>3965</v>
      </c>
      <c r="D786" s="1872" t="s">
        <v>3957</v>
      </c>
      <c r="E786" s="1867" t="s">
        <v>3073</v>
      </c>
      <c r="F786" s="1562">
        <v>2</v>
      </c>
      <c r="G786" s="1562">
        <v>1963500</v>
      </c>
      <c r="H786" s="1562">
        <f t="shared" si="49"/>
        <v>3927000</v>
      </c>
      <c r="I786" s="1562">
        <v>2</v>
      </c>
      <c r="J786" s="1562">
        <v>1963500</v>
      </c>
      <c r="K786" s="1562">
        <f t="shared" ref="K786:K844" si="50">I786*J786</f>
        <v>3927000</v>
      </c>
      <c r="L786" s="1562">
        <f t="shared" ref="L786:L844" si="51">J786-G786</f>
        <v>0</v>
      </c>
      <c r="M786" s="1867" t="s">
        <v>3929</v>
      </c>
      <c r="N786" s="1867" t="s">
        <v>3804</v>
      </c>
    </row>
    <row r="787" spans="1:14">
      <c r="A787" s="1526">
        <v>669</v>
      </c>
      <c r="B787" s="1731">
        <v>130</v>
      </c>
      <c r="C787" s="1658" t="s">
        <v>3966</v>
      </c>
      <c r="D787" s="1872" t="s">
        <v>3926</v>
      </c>
      <c r="E787" s="1867" t="s">
        <v>3073</v>
      </c>
      <c r="F787" s="1562">
        <v>3</v>
      </c>
      <c r="G787" s="1562">
        <v>9309300</v>
      </c>
      <c r="H787" s="1562">
        <f t="shared" si="49"/>
        <v>27927900</v>
      </c>
      <c r="I787" s="1562">
        <v>3</v>
      </c>
      <c r="J787" s="1562">
        <v>9309300</v>
      </c>
      <c r="K787" s="1562">
        <f t="shared" si="50"/>
        <v>27927900</v>
      </c>
      <c r="L787" s="1562">
        <f t="shared" si="51"/>
        <v>0</v>
      </c>
      <c r="M787" s="1867" t="s">
        <v>3929</v>
      </c>
      <c r="N787" s="1867" t="s">
        <v>3804</v>
      </c>
    </row>
    <row r="788" spans="1:14" ht="18">
      <c r="A788" s="1526">
        <v>670</v>
      </c>
      <c r="B788" s="1731">
        <v>131</v>
      </c>
      <c r="C788" s="1658" t="s">
        <v>3967</v>
      </c>
      <c r="D788" s="1872" t="s">
        <v>3960</v>
      </c>
      <c r="E788" s="1867" t="s">
        <v>3073</v>
      </c>
      <c r="F788" s="1562">
        <v>2</v>
      </c>
      <c r="G788" s="1562">
        <v>2263800</v>
      </c>
      <c r="H788" s="1562">
        <f t="shared" si="49"/>
        <v>4527600</v>
      </c>
      <c r="I788" s="1562">
        <v>2</v>
      </c>
      <c r="J788" s="1562">
        <v>2263800</v>
      </c>
      <c r="K788" s="1562">
        <f t="shared" si="50"/>
        <v>4527600</v>
      </c>
      <c r="L788" s="1562">
        <f t="shared" si="51"/>
        <v>0</v>
      </c>
      <c r="M788" s="1867" t="s">
        <v>3922</v>
      </c>
      <c r="N788" s="1867" t="s">
        <v>3804</v>
      </c>
    </row>
    <row r="789" spans="1:14" ht="18">
      <c r="A789" s="1526">
        <v>671</v>
      </c>
      <c r="B789" s="1731">
        <v>132</v>
      </c>
      <c r="C789" s="1658" t="s">
        <v>3968</v>
      </c>
      <c r="D789" s="1872" t="s">
        <v>3952</v>
      </c>
      <c r="E789" s="1867" t="s">
        <v>3073</v>
      </c>
      <c r="F789" s="1562">
        <v>2</v>
      </c>
      <c r="G789" s="1562">
        <v>1963500</v>
      </c>
      <c r="H789" s="1562">
        <f t="shared" si="49"/>
        <v>3927000</v>
      </c>
      <c r="I789" s="1562">
        <v>2</v>
      </c>
      <c r="J789" s="1562">
        <v>1963500</v>
      </c>
      <c r="K789" s="1562">
        <f t="shared" si="50"/>
        <v>3927000</v>
      </c>
      <c r="L789" s="1562">
        <f t="shared" si="51"/>
        <v>0</v>
      </c>
      <c r="M789" s="1867" t="s">
        <v>3922</v>
      </c>
      <c r="N789" s="1867" t="s">
        <v>3804</v>
      </c>
    </row>
    <row r="790" spans="1:14">
      <c r="A790" s="1526">
        <v>672</v>
      </c>
      <c r="B790" s="1731">
        <v>133</v>
      </c>
      <c r="C790" s="1658" t="s">
        <v>3969</v>
      </c>
      <c r="D790" s="1872" t="s">
        <v>3926</v>
      </c>
      <c r="E790" s="1867" t="s">
        <v>3073</v>
      </c>
      <c r="F790" s="1562">
        <v>3</v>
      </c>
      <c r="G790" s="1562">
        <v>5303760</v>
      </c>
      <c r="H790" s="1562">
        <f t="shared" si="49"/>
        <v>15911280</v>
      </c>
      <c r="I790" s="1562">
        <v>3</v>
      </c>
      <c r="J790" s="1562">
        <v>5303760</v>
      </c>
      <c r="K790" s="1562">
        <f t="shared" si="50"/>
        <v>15911280</v>
      </c>
      <c r="L790" s="1562">
        <f t="shared" si="51"/>
        <v>0</v>
      </c>
      <c r="M790" s="1867" t="s">
        <v>3922</v>
      </c>
      <c r="N790" s="1867" t="s">
        <v>3804</v>
      </c>
    </row>
    <row r="791" spans="1:14" ht="18">
      <c r="A791" s="1526">
        <v>673</v>
      </c>
      <c r="B791" s="1731">
        <v>134</v>
      </c>
      <c r="C791" s="1658" t="s">
        <v>3970</v>
      </c>
      <c r="D791" s="1872" t="s">
        <v>3971</v>
      </c>
      <c r="E791" s="1867" t="s">
        <v>3073</v>
      </c>
      <c r="F791" s="1562">
        <v>2</v>
      </c>
      <c r="G791" s="1562">
        <v>2263800</v>
      </c>
      <c r="H791" s="1562">
        <f t="shared" si="49"/>
        <v>4527600</v>
      </c>
      <c r="I791" s="1562">
        <v>2</v>
      </c>
      <c r="J791" s="1562">
        <v>2263800</v>
      </c>
      <c r="K791" s="1562">
        <f t="shared" si="50"/>
        <v>4527600</v>
      </c>
      <c r="L791" s="1562">
        <f t="shared" si="51"/>
        <v>0</v>
      </c>
      <c r="M791" s="1867" t="s">
        <v>3922</v>
      </c>
      <c r="N791" s="1867" t="s">
        <v>3804</v>
      </c>
    </row>
    <row r="792" spans="1:14" ht="18">
      <c r="A792" s="1526">
        <v>674</v>
      </c>
      <c r="B792" s="1731">
        <v>135</v>
      </c>
      <c r="C792" s="1658" t="s">
        <v>3972</v>
      </c>
      <c r="D792" s="1872" t="s">
        <v>3973</v>
      </c>
      <c r="E792" s="1867" t="s">
        <v>3073</v>
      </c>
      <c r="F792" s="1562">
        <v>2</v>
      </c>
      <c r="G792" s="1562">
        <v>3234000</v>
      </c>
      <c r="H792" s="1562">
        <f t="shared" si="49"/>
        <v>6468000</v>
      </c>
      <c r="I792" s="1562">
        <v>2</v>
      </c>
      <c r="J792" s="1562">
        <v>3234000</v>
      </c>
      <c r="K792" s="1562">
        <f t="shared" si="50"/>
        <v>6468000</v>
      </c>
      <c r="L792" s="1562">
        <f t="shared" si="51"/>
        <v>0</v>
      </c>
      <c r="M792" s="1867" t="s">
        <v>3922</v>
      </c>
      <c r="N792" s="1867" t="s">
        <v>3804</v>
      </c>
    </row>
    <row r="793" spans="1:14">
      <c r="A793" s="1526">
        <v>675</v>
      </c>
      <c r="B793" s="1731">
        <v>136</v>
      </c>
      <c r="C793" s="1658" t="s">
        <v>3974</v>
      </c>
      <c r="D793" s="1872" t="s">
        <v>3926</v>
      </c>
      <c r="E793" s="1867" t="s">
        <v>3073</v>
      </c>
      <c r="F793" s="1562">
        <v>3</v>
      </c>
      <c r="G793" s="1562">
        <v>9586500</v>
      </c>
      <c r="H793" s="1562">
        <f t="shared" si="49"/>
        <v>28759500</v>
      </c>
      <c r="I793" s="1562">
        <v>3</v>
      </c>
      <c r="J793" s="1562">
        <v>9586500</v>
      </c>
      <c r="K793" s="1562">
        <f t="shared" si="50"/>
        <v>28759500</v>
      </c>
      <c r="L793" s="1562">
        <f t="shared" si="51"/>
        <v>0</v>
      </c>
      <c r="M793" s="1867" t="s">
        <v>3922</v>
      </c>
      <c r="N793" s="1867" t="s">
        <v>3804</v>
      </c>
    </row>
    <row r="794" spans="1:14" ht="18">
      <c r="A794" s="1526">
        <v>676</v>
      </c>
      <c r="B794" s="1731">
        <v>137</v>
      </c>
      <c r="C794" s="1658" t="s">
        <v>3975</v>
      </c>
      <c r="D794" s="1872" t="s">
        <v>3971</v>
      </c>
      <c r="E794" s="1867" t="s">
        <v>3073</v>
      </c>
      <c r="F794" s="1562">
        <v>2</v>
      </c>
      <c r="G794" s="1562">
        <v>2263800</v>
      </c>
      <c r="H794" s="1562">
        <f t="shared" si="49"/>
        <v>4527600</v>
      </c>
      <c r="I794" s="1562">
        <v>2</v>
      </c>
      <c r="J794" s="1562">
        <v>2263800</v>
      </c>
      <c r="K794" s="1562">
        <f t="shared" si="50"/>
        <v>4527600</v>
      </c>
      <c r="L794" s="1562">
        <f t="shared" si="51"/>
        <v>0</v>
      </c>
      <c r="M794" s="1867" t="s">
        <v>3922</v>
      </c>
      <c r="N794" s="1867" t="s">
        <v>3804</v>
      </c>
    </row>
    <row r="795" spans="1:14">
      <c r="A795" s="1526">
        <v>677</v>
      </c>
      <c r="B795" s="1731">
        <v>138</v>
      </c>
      <c r="C795" s="1658" t="s">
        <v>3976</v>
      </c>
      <c r="D795" s="1872" t="s">
        <v>3977</v>
      </c>
      <c r="E795" s="1867" t="s">
        <v>3073</v>
      </c>
      <c r="F795" s="1562">
        <v>2</v>
      </c>
      <c r="G795" s="1562">
        <v>1963500</v>
      </c>
      <c r="H795" s="1562">
        <f t="shared" si="49"/>
        <v>3927000</v>
      </c>
      <c r="I795" s="1562">
        <v>2</v>
      </c>
      <c r="J795" s="1562">
        <v>1963500</v>
      </c>
      <c r="K795" s="1562">
        <f t="shared" si="50"/>
        <v>3927000</v>
      </c>
      <c r="L795" s="1562">
        <f t="shared" si="51"/>
        <v>0</v>
      </c>
      <c r="M795" s="1867" t="s">
        <v>3922</v>
      </c>
      <c r="N795" s="1867" t="s">
        <v>3804</v>
      </c>
    </row>
    <row r="796" spans="1:14">
      <c r="A796" s="1526">
        <v>678</v>
      </c>
      <c r="B796" s="1731">
        <v>139</v>
      </c>
      <c r="C796" s="1658" t="s">
        <v>3978</v>
      </c>
      <c r="D796" s="1872" t="s">
        <v>3905</v>
      </c>
      <c r="E796" s="1867" t="s">
        <v>3073</v>
      </c>
      <c r="F796" s="1562">
        <v>3</v>
      </c>
      <c r="G796" s="1562">
        <v>8131200</v>
      </c>
      <c r="H796" s="1562">
        <f t="shared" si="49"/>
        <v>24393600</v>
      </c>
      <c r="I796" s="1562">
        <v>3</v>
      </c>
      <c r="J796" s="1562">
        <v>8131200</v>
      </c>
      <c r="K796" s="1562">
        <f t="shared" si="50"/>
        <v>24393600</v>
      </c>
      <c r="L796" s="1562">
        <f t="shared" si="51"/>
        <v>0</v>
      </c>
      <c r="M796" s="1867" t="s">
        <v>3922</v>
      </c>
      <c r="N796" s="1867" t="s">
        <v>3804</v>
      </c>
    </row>
    <row r="797" spans="1:14">
      <c r="A797" s="1526">
        <v>679</v>
      </c>
      <c r="B797" s="1731">
        <v>140</v>
      </c>
      <c r="C797" s="1658" t="s">
        <v>3979</v>
      </c>
      <c r="D797" s="1872" t="s">
        <v>3980</v>
      </c>
      <c r="E797" s="1867" t="s">
        <v>3073</v>
      </c>
      <c r="F797" s="1562">
        <v>2</v>
      </c>
      <c r="G797" s="1562">
        <v>2263800</v>
      </c>
      <c r="H797" s="1562">
        <f t="shared" si="49"/>
        <v>4527600</v>
      </c>
      <c r="I797" s="1562">
        <v>2</v>
      </c>
      <c r="J797" s="1562">
        <v>2263800</v>
      </c>
      <c r="K797" s="1562">
        <f t="shared" si="50"/>
        <v>4527600</v>
      </c>
      <c r="L797" s="1562">
        <f t="shared" si="51"/>
        <v>0</v>
      </c>
      <c r="M797" s="1867" t="s">
        <v>3922</v>
      </c>
      <c r="N797" s="1867" t="s">
        <v>3804</v>
      </c>
    </row>
    <row r="798" spans="1:14" ht="18">
      <c r="A798" s="1526">
        <v>680</v>
      </c>
      <c r="B798" s="1731">
        <v>141</v>
      </c>
      <c r="C798" s="1658" t="s">
        <v>3981</v>
      </c>
      <c r="D798" s="1872" t="s">
        <v>3982</v>
      </c>
      <c r="E798" s="1867" t="s">
        <v>3073</v>
      </c>
      <c r="F798" s="1562">
        <v>2</v>
      </c>
      <c r="G798" s="1562">
        <v>1963500</v>
      </c>
      <c r="H798" s="1562">
        <f t="shared" si="49"/>
        <v>3927000</v>
      </c>
      <c r="I798" s="1562">
        <v>2</v>
      </c>
      <c r="J798" s="1562">
        <v>1963500</v>
      </c>
      <c r="K798" s="1562">
        <f t="shared" si="50"/>
        <v>3927000</v>
      </c>
      <c r="L798" s="1562">
        <f t="shared" si="51"/>
        <v>0</v>
      </c>
      <c r="M798" s="1867" t="s">
        <v>3922</v>
      </c>
      <c r="N798" s="1867" t="s">
        <v>3804</v>
      </c>
    </row>
    <row r="799" spans="1:14">
      <c r="A799" s="1526">
        <v>681</v>
      </c>
      <c r="B799" s="1731">
        <v>142</v>
      </c>
      <c r="C799" s="1658" t="s">
        <v>3983</v>
      </c>
      <c r="D799" s="1872" t="s">
        <v>3905</v>
      </c>
      <c r="E799" s="1867" t="s">
        <v>3073</v>
      </c>
      <c r="F799" s="1562">
        <v>3</v>
      </c>
      <c r="G799" s="1562">
        <v>10016160</v>
      </c>
      <c r="H799" s="1562">
        <f t="shared" si="49"/>
        <v>30048480</v>
      </c>
      <c r="I799" s="1562">
        <v>3</v>
      </c>
      <c r="J799" s="1562">
        <v>10016160</v>
      </c>
      <c r="K799" s="1562">
        <f t="shared" si="50"/>
        <v>30048480</v>
      </c>
      <c r="L799" s="1562">
        <f t="shared" si="51"/>
        <v>0</v>
      </c>
      <c r="M799" s="1867" t="s">
        <v>3922</v>
      </c>
      <c r="N799" s="1867" t="s">
        <v>3804</v>
      </c>
    </row>
    <row r="800" spans="1:14" ht="18">
      <c r="A800" s="1526">
        <v>682</v>
      </c>
      <c r="B800" s="1731">
        <v>143</v>
      </c>
      <c r="C800" s="1658" t="s">
        <v>3984</v>
      </c>
      <c r="D800" s="1872" t="s">
        <v>3985</v>
      </c>
      <c r="E800" s="1867" t="s">
        <v>3073</v>
      </c>
      <c r="F800" s="1562">
        <v>2</v>
      </c>
      <c r="G800" s="1562">
        <v>2263800</v>
      </c>
      <c r="H800" s="1562">
        <f t="shared" si="49"/>
        <v>4527600</v>
      </c>
      <c r="I800" s="1562">
        <v>2</v>
      </c>
      <c r="J800" s="1562">
        <v>2263800</v>
      </c>
      <c r="K800" s="1562">
        <f t="shared" si="50"/>
        <v>4527600</v>
      </c>
      <c r="L800" s="1562">
        <f t="shared" si="51"/>
        <v>0</v>
      </c>
      <c r="M800" s="1867" t="s">
        <v>3922</v>
      </c>
      <c r="N800" s="1867" t="s">
        <v>3804</v>
      </c>
    </row>
    <row r="801" spans="1:14">
      <c r="A801" s="1526">
        <v>683</v>
      </c>
      <c r="B801" s="1731">
        <v>144</v>
      </c>
      <c r="C801" s="1658" t="s">
        <v>3986</v>
      </c>
      <c r="D801" s="1872" t="s">
        <v>3987</v>
      </c>
      <c r="E801" s="1867" t="s">
        <v>3073</v>
      </c>
      <c r="F801" s="1562">
        <v>2</v>
      </c>
      <c r="G801" s="1562">
        <v>1963500</v>
      </c>
      <c r="H801" s="1562">
        <f t="shared" si="49"/>
        <v>3927000</v>
      </c>
      <c r="I801" s="1562">
        <v>2</v>
      </c>
      <c r="J801" s="1562">
        <v>1963500</v>
      </c>
      <c r="K801" s="1562">
        <f t="shared" si="50"/>
        <v>3927000</v>
      </c>
      <c r="L801" s="1562">
        <f t="shared" si="51"/>
        <v>0</v>
      </c>
      <c r="M801" s="1867" t="s">
        <v>3922</v>
      </c>
      <c r="N801" s="1867" t="s">
        <v>3804</v>
      </c>
    </row>
    <row r="802" spans="1:14">
      <c r="A802" s="1526">
        <v>684</v>
      </c>
      <c r="B802" s="1731">
        <v>145</v>
      </c>
      <c r="C802" s="1658" t="s">
        <v>3988</v>
      </c>
      <c r="D802" s="1872" t="s">
        <v>3905</v>
      </c>
      <c r="E802" s="1867" t="s">
        <v>3073</v>
      </c>
      <c r="F802" s="1562">
        <v>3</v>
      </c>
      <c r="G802" s="1562">
        <v>5539380</v>
      </c>
      <c r="H802" s="1562">
        <f t="shared" si="49"/>
        <v>16618140</v>
      </c>
      <c r="I802" s="1562">
        <v>3</v>
      </c>
      <c r="J802" s="1562">
        <v>5539380</v>
      </c>
      <c r="K802" s="1562">
        <f t="shared" si="50"/>
        <v>16618140</v>
      </c>
      <c r="L802" s="1562">
        <f t="shared" si="51"/>
        <v>0</v>
      </c>
      <c r="M802" s="1867" t="s">
        <v>3922</v>
      </c>
      <c r="N802" s="1867" t="s">
        <v>3804</v>
      </c>
    </row>
    <row r="803" spans="1:14" ht="18">
      <c r="A803" s="1526">
        <v>685</v>
      </c>
      <c r="B803" s="1731">
        <v>146</v>
      </c>
      <c r="C803" s="1658" t="s">
        <v>3989</v>
      </c>
      <c r="D803" s="1872" t="s">
        <v>3990</v>
      </c>
      <c r="E803" s="1867" t="s">
        <v>3073</v>
      </c>
      <c r="F803" s="1562">
        <v>2</v>
      </c>
      <c r="G803" s="1562">
        <v>2263800</v>
      </c>
      <c r="H803" s="1562">
        <f t="shared" si="49"/>
        <v>4527600</v>
      </c>
      <c r="I803" s="1562">
        <v>2</v>
      </c>
      <c r="J803" s="1562">
        <v>2263800</v>
      </c>
      <c r="K803" s="1562">
        <f t="shared" si="50"/>
        <v>4527600</v>
      </c>
      <c r="L803" s="1562">
        <f t="shared" si="51"/>
        <v>0</v>
      </c>
      <c r="M803" s="1867" t="s">
        <v>3922</v>
      </c>
      <c r="N803" s="1867" t="s">
        <v>3804</v>
      </c>
    </row>
    <row r="804" spans="1:14">
      <c r="A804" s="1526">
        <v>686</v>
      </c>
      <c r="B804" s="1731">
        <v>147</v>
      </c>
      <c r="C804" s="1658" t="s">
        <v>3991</v>
      </c>
      <c r="D804" s="1872" t="s">
        <v>3992</v>
      </c>
      <c r="E804" s="1867" t="s">
        <v>3073</v>
      </c>
      <c r="F804" s="1562">
        <v>2</v>
      </c>
      <c r="G804" s="1562">
        <v>1963500</v>
      </c>
      <c r="H804" s="1562">
        <f t="shared" si="49"/>
        <v>3927000</v>
      </c>
      <c r="I804" s="1562">
        <v>2</v>
      </c>
      <c r="J804" s="1562">
        <v>1963500</v>
      </c>
      <c r="K804" s="1562">
        <f t="shared" si="50"/>
        <v>3927000</v>
      </c>
      <c r="L804" s="1562">
        <f t="shared" si="51"/>
        <v>0</v>
      </c>
      <c r="M804" s="1867" t="s">
        <v>3922</v>
      </c>
      <c r="N804" s="1867" t="s">
        <v>3804</v>
      </c>
    </row>
    <row r="805" spans="1:14">
      <c r="A805" s="1526">
        <v>687</v>
      </c>
      <c r="B805" s="1731">
        <v>148</v>
      </c>
      <c r="C805" s="1658" t="s">
        <v>3993</v>
      </c>
      <c r="D805" s="1872" t="s">
        <v>3926</v>
      </c>
      <c r="E805" s="1867" t="s">
        <v>3073</v>
      </c>
      <c r="F805" s="1562">
        <v>3</v>
      </c>
      <c r="G805" s="1562">
        <v>11665500</v>
      </c>
      <c r="H805" s="1562">
        <f t="shared" si="49"/>
        <v>34996500</v>
      </c>
      <c r="I805" s="1562">
        <v>3</v>
      </c>
      <c r="J805" s="1562">
        <v>11665500</v>
      </c>
      <c r="K805" s="1562">
        <f t="shared" si="50"/>
        <v>34996500</v>
      </c>
      <c r="L805" s="1562">
        <f t="shared" si="51"/>
        <v>0</v>
      </c>
      <c r="M805" s="1867" t="s">
        <v>3922</v>
      </c>
      <c r="N805" s="1867" t="s">
        <v>3804</v>
      </c>
    </row>
    <row r="806" spans="1:14" ht="18">
      <c r="A806" s="1526">
        <v>688</v>
      </c>
      <c r="B806" s="1731">
        <v>149</v>
      </c>
      <c r="C806" s="1658" t="s">
        <v>3994</v>
      </c>
      <c r="D806" s="1872" t="s">
        <v>3934</v>
      </c>
      <c r="E806" s="1867" t="s">
        <v>3073</v>
      </c>
      <c r="F806" s="1562">
        <v>2</v>
      </c>
      <c r="G806" s="1562">
        <v>2263800</v>
      </c>
      <c r="H806" s="1562">
        <f t="shared" si="49"/>
        <v>4527600</v>
      </c>
      <c r="I806" s="1562">
        <v>2</v>
      </c>
      <c r="J806" s="1562">
        <v>2263800</v>
      </c>
      <c r="K806" s="1562">
        <f t="shared" si="50"/>
        <v>4527600</v>
      </c>
      <c r="L806" s="1562">
        <f t="shared" si="51"/>
        <v>0</v>
      </c>
      <c r="M806" s="1867" t="s">
        <v>3922</v>
      </c>
      <c r="N806" s="1867" t="s">
        <v>3804</v>
      </c>
    </row>
    <row r="807" spans="1:14" ht="18">
      <c r="A807" s="1526">
        <v>689</v>
      </c>
      <c r="B807" s="1731">
        <v>150</v>
      </c>
      <c r="C807" s="1658" t="s">
        <v>3995</v>
      </c>
      <c r="D807" s="1872" t="s">
        <v>3996</v>
      </c>
      <c r="E807" s="1867" t="s">
        <v>3073</v>
      </c>
      <c r="F807" s="1562">
        <v>2</v>
      </c>
      <c r="G807" s="1562">
        <v>1963500</v>
      </c>
      <c r="H807" s="1562">
        <f t="shared" si="49"/>
        <v>3927000</v>
      </c>
      <c r="I807" s="1562">
        <v>2</v>
      </c>
      <c r="J807" s="1562">
        <v>1963500</v>
      </c>
      <c r="K807" s="1562">
        <f t="shared" si="50"/>
        <v>3927000</v>
      </c>
      <c r="L807" s="1562">
        <f t="shared" si="51"/>
        <v>0</v>
      </c>
      <c r="M807" s="1867" t="s">
        <v>3922</v>
      </c>
      <c r="N807" s="1867" t="s">
        <v>3804</v>
      </c>
    </row>
    <row r="808" spans="1:14">
      <c r="A808" s="1526">
        <v>690</v>
      </c>
      <c r="B808" s="1731">
        <v>151</v>
      </c>
      <c r="C808" s="1658" t="s">
        <v>3997</v>
      </c>
      <c r="D808" s="1872" t="s">
        <v>3926</v>
      </c>
      <c r="E808" s="1867" t="s">
        <v>3073</v>
      </c>
      <c r="F808" s="1562">
        <v>3</v>
      </c>
      <c r="G808" s="1562">
        <v>5539380</v>
      </c>
      <c r="H808" s="1562">
        <f t="shared" si="49"/>
        <v>16618140</v>
      </c>
      <c r="I808" s="1562">
        <v>3</v>
      </c>
      <c r="J808" s="1562">
        <v>5539380</v>
      </c>
      <c r="K808" s="1562">
        <f t="shared" si="50"/>
        <v>16618140</v>
      </c>
      <c r="L808" s="1562">
        <f t="shared" si="51"/>
        <v>0</v>
      </c>
      <c r="M808" s="1867" t="s">
        <v>3922</v>
      </c>
      <c r="N808" s="1867" t="s">
        <v>3804</v>
      </c>
    </row>
    <row r="809" spans="1:14" ht="18">
      <c r="A809" s="1526">
        <v>691</v>
      </c>
      <c r="B809" s="1731">
        <v>152</v>
      </c>
      <c r="C809" s="1658" t="s">
        <v>3998</v>
      </c>
      <c r="D809" s="1872" t="s">
        <v>3999</v>
      </c>
      <c r="E809" s="1867" t="s">
        <v>3073</v>
      </c>
      <c r="F809" s="1562">
        <v>2</v>
      </c>
      <c r="G809" s="1562">
        <v>2263800</v>
      </c>
      <c r="H809" s="1562">
        <f t="shared" si="49"/>
        <v>4527600</v>
      </c>
      <c r="I809" s="1562">
        <v>2</v>
      </c>
      <c r="J809" s="1562">
        <v>2263800</v>
      </c>
      <c r="K809" s="1562">
        <f t="shared" si="50"/>
        <v>4527600</v>
      </c>
      <c r="L809" s="1562">
        <f t="shared" si="51"/>
        <v>0</v>
      </c>
      <c r="M809" s="1867" t="s">
        <v>3922</v>
      </c>
      <c r="N809" s="1867" t="s">
        <v>3804</v>
      </c>
    </row>
    <row r="810" spans="1:14" ht="18">
      <c r="A810" s="1526">
        <v>692</v>
      </c>
      <c r="B810" s="1731">
        <v>153</v>
      </c>
      <c r="C810" s="1658" t="s">
        <v>4000</v>
      </c>
      <c r="D810" s="1872" t="s">
        <v>4001</v>
      </c>
      <c r="E810" s="1867" t="s">
        <v>3073</v>
      </c>
      <c r="F810" s="1562">
        <v>2</v>
      </c>
      <c r="G810" s="1562">
        <v>1963500</v>
      </c>
      <c r="H810" s="1562">
        <f t="shared" si="49"/>
        <v>3927000</v>
      </c>
      <c r="I810" s="1562">
        <v>2</v>
      </c>
      <c r="J810" s="1562">
        <v>1963500</v>
      </c>
      <c r="K810" s="1562">
        <f t="shared" si="50"/>
        <v>3927000</v>
      </c>
      <c r="L810" s="1562">
        <f t="shared" si="51"/>
        <v>0</v>
      </c>
      <c r="M810" s="1867" t="s">
        <v>3922</v>
      </c>
      <c r="N810" s="1867" t="s">
        <v>3804</v>
      </c>
    </row>
    <row r="811" spans="1:14" ht="18">
      <c r="A811" s="1526">
        <v>693</v>
      </c>
      <c r="B811" s="1731">
        <v>154</v>
      </c>
      <c r="C811" s="1658" t="s">
        <v>4002</v>
      </c>
      <c r="D811" s="1872" t="s">
        <v>4003</v>
      </c>
      <c r="E811" s="1867" t="s">
        <v>3073</v>
      </c>
      <c r="F811" s="1562">
        <v>2</v>
      </c>
      <c r="G811" s="1562">
        <v>824670</v>
      </c>
      <c r="H811" s="1562">
        <f t="shared" si="49"/>
        <v>1649340</v>
      </c>
      <c r="I811" s="1562">
        <v>2</v>
      </c>
      <c r="J811" s="1562">
        <v>824670</v>
      </c>
      <c r="K811" s="1562">
        <f t="shared" si="50"/>
        <v>1649340</v>
      </c>
      <c r="L811" s="1562">
        <f t="shared" si="51"/>
        <v>0</v>
      </c>
      <c r="M811" s="1867" t="s">
        <v>3922</v>
      </c>
      <c r="N811" s="1867" t="s">
        <v>3804</v>
      </c>
    </row>
    <row r="812" spans="1:14">
      <c r="A812" s="1526">
        <v>694</v>
      </c>
      <c r="B812" s="1731">
        <v>155</v>
      </c>
      <c r="C812" s="1658" t="s">
        <v>4004</v>
      </c>
      <c r="D812" s="1872" t="s">
        <v>3905</v>
      </c>
      <c r="E812" s="1867" t="s">
        <v>3073</v>
      </c>
      <c r="F812" s="1562">
        <v>3</v>
      </c>
      <c r="G812" s="1562">
        <v>20790000</v>
      </c>
      <c r="H812" s="1562">
        <f t="shared" si="49"/>
        <v>62370000</v>
      </c>
      <c r="I812" s="1562">
        <v>3</v>
      </c>
      <c r="J812" s="1562">
        <v>20790000</v>
      </c>
      <c r="K812" s="1562">
        <f t="shared" si="50"/>
        <v>62370000</v>
      </c>
      <c r="L812" s="1562">
        <f t="shared" si="51"/>
        <v>0</v>
      </c>
      <c r="M812" s="1867" t="s">
        <v>3922</v>
      </c>
      <c r="N812" s="1867" t="s">
        <v>3804</v>
      </c>
    </row>
    <row r="813" spans="1:14">
      <c r="A813" s="1526">
        <v>695</v>
      </c>
      <c r="B813" s="1731">
        <v>156</v>
      </c>
      <c r="C813" s="1658" t="s">
        <v>4005</v>
      </c>
      <c r="D813" s="1872" t="s">
        <v>3945</v>
      </c>
      <c r="E813" s="1867" t="s">
        <v>3073</v>
      </c>
      <c r="F813" s="1562">
        <v>4</v>
      </c>
      <c r="G813" s="1562">
        <v>2450000</v>
      </c>
      <c r="H813" s="1562">
        <f t="shared" si="49"/>
        <v>9800000</v>
      </c>
      <c r="I813" s="1562">
        <v>4</v>
      </c>
      <c r="J813" s="1562">
        <v>2450000</v>
      </c>
      <c r="K813" s="1562">
        <f t="shared" si="50"/>
        <v>9800000</v>
      </c>
      <c r="L813" s="1562">
        <f t="shared" si="51"/>
        <v>0</v>
      </c>
      <c r="M813" s="1867" t="s">
        <v>3922</v>
      </c>
      <c r="N813" s="1867" t="s">
        <v>3804</v>
      </c>
    </row>
    <row r="814" spans="1:14" ht="18">
      <c r="A814" s="1526">
        <v>696</v>
      </c>
      <c r="B814" s="1731">
        <v>157</v>
      </c>
      <c r="C814" s="1658" t="s">
        <v>4006</v>
      </c>
      <c r="D814" s="1872" t="s">
        <v>4007</v>
      </c>
      <c r="E814" s="1867" t="s">
        <v>3073</v>
      </c>
      <c r="F814" s="1562">
        <v>4</v>
      </c>
      <c r="G814" s="1562">
        <v>2405000</v>
      </c>
      <c r="H814" s="1562">
        <f t="shared" si="49"/>
        <v>9620000</v>
      </c>
      <c r="I814" s="1562">
        <v>4</v>
      </c>
      <c r="J814" s="1562">
        <v>2405000</v>
      </c>
      <c r="K814" s="1562">
        <f t="shared" si="50"/>
        <v>9620000</v>
      </c>
      <c r="L814" s="1562">
        <f t="shared" si="51"/>
        <v>0</v>
      </c>
      <c r="M814" s="1867" t="s">
        <v>3922</v>
      </c>
      <c r="N814" s="1867" t="s">
        <v>3804</v>
      </c>
    </row>
    <row r="815" spans="1:14">
      <c r="A815" s="1526">
        <v>697</v>
      </c>
      <c r="B815" s="1731">
        <v>158</v>
      </c>
      <c r="C815" s="1658" t="s">
        <v>4008</v>
      </c>
      <c r="D815" s="1872" t="s">
        <v>4009</v>
      </c>
      <c r="E815" s="1867" t="s">
        <v>3073</v>
      </c>
      <c r="F815" s="1562">
        <v>40</v>
      </c>
      <c r="G815" s="1562">
        <v>38100500</v>
      </c>
      <c r="H815" s="1562">
        <f t="shared" si="49"/>
        <v>1524020000</v>
      </c>
      <c r="I815" s="1562">
        <v>40</v>
      </c>
      <c r="J815" s="1562">
        <v>38100500</v>
      </c>
      <c r="K815" s="1562">
        <f t="shared" si="50"/>
        <v>1524020000</v>
      </c>
      <c r="L815" s="1562">
        <f t="shared" si="51"/>
        <v>0</v>
      </c>
      <c r="M815" s="1867" t="s">
        <v>3922</v>
      </c>
      <c r="N815" s="1867" t="s">
        <v>3804</v>
      </c>
    </row>
    <row r="816" spans="1:14" ht="18">
      <c r="A816" s="1526">
        <v>698</v>
      </c>
      <c r="B816" s="1731">
        <v>159</v>
      </c>
      <c r="C816" s="1658" t="s">
        <v>4010</v>
      </c>
      <c r="D816" s="1872" t="s">
        <v>4011</v>
      </c>
      <c r="E816" s="1867" t="s">
        <v>3073</v>
      </c>
      <c r="F816" s="1562">
        <v>2</v>
      </c>
      <c r="G816" s="1562">
        <v>2263800</v>
      </c>
      <c r="H816" s="1562">
        <f t="shared" si="49"/>
        <v>4527600</v>
      </c>
      <c r="I816" s="1562">
        <v>2</v>
      </c>
      <c r="J816" s="1562">
        <v>2263800</v>
      </c>
      <c r="K816" s="1562">
        <f t="shared" si="50"/>
        <v>4527600</v>
      </c>
      <c r="L816" s="1562">
        <f t="shared" si="51"/>
        <v>0</v>
      </c>
      <c r="M816" s="1867" t="s">
        <v>3922</v>
      </c>
      <c r="N816" s="1867" t="s">
        <v>3804</v>
      </c>
    </row>
    <row r="817" spans="1:14">
      <c r="A817" s="1526">
        <v>699</v>
      </c>
      <c r="B817" s="1731">
        <v>160</v>
      </c>
      <c r="C817" s="1658" t="s">
        <v>4012</v>
      </c>
      <c r="D817" s="1872" t="s">
        <v>3926</v>
      </c>
      <c r="E817" s="1867" t="s">
        <v>3073</v>
      </c>
      <c r="F817" s="1562">
        <v>3</v>
      </c>
      <c r="G817" s="1562">
        <v>10972500</v>
      </c>
      <c r="H817" s="1562">
        <f t="shared" si="49"/>
        <v>32917500</v>
      </c>
      <c r="I817" s="1562">
        <v>3</v>
      </c>
      <c r="J817" s="1562">
        <v>10972500</v>
      </c>
      <c r="K817" s="1562">
        <f t="shared" si="50"/>
        <v>32917500</v>
      </c>
      <c r="L817" s="1562">
        <f t="shared" si="51"/>
        <v>0</v>
      </c>
      <c r="M817" s="1867" t="s">
        <v>3922</v>
      </c>
      <c r="N817" s="1867" t="s">
        <v>3804</v>
      </c>
    </row>
    <row r="818" spans="1:14" ht="18">
      <c r="A818" s="1526">
        <v>700</v>
      </c>
      <c r="B818" s="1731">
        <v>161</v>
      </c>
      <c r="C818" s="1658" t="s">
        <v>4013</v>
      </c>
      <c r="D818" s="1872" t="s">
        <v>3971</v>
      </c>
      <c r="E818" s="1867" t="s">
        <v>3073</v>
      </c>
      <c r="F818" s="1562">
        <v>2</v>
      </c>
      <c r="G818" s="1562">
        <v>5775000</v>
      </c>
      <c r="H818" s="1562">
        <f t="shared" si="49"/>
        <v>11550000</v>
      </c>
      <c r="I818" s="1562">
        <v>2</v>
      </c>
      <c r="J818" s="1562">
        <v>5775000</v>
      </c>
      <c r="K818" s="1562">
        <f t="shared" si="50"/>
        <v>11550000</v>
      </c>
      <c r="L818" s="1562">
        <f t="shared" si="51"/>
        <v>0</v>
      </c>
      <c r="M818" s="1867" t="s">
        <v>3922</v>
      </c>
      <c r="N818" s="1867" t="s">
        <v>3804</v>
      </c>
    </row>
    <row r="819" spans="1:14" ht="18">
      <c r="A819" s="1526">
        <v>701</v>
      </c>
      <c r="B819" s="1731">
        <v>162</v>
      </c>
      <c r="C819" s="1658" t="s">
        <v>4014</v>
      </c>
      <c r="D819" s="1872" t="s">
        <v>4015</v>
      </c>
      <c r="E819" s="1867" t="s">
        <v>3073</v>
      </c>
      <c r="F819" s="1562">
        <v>2</v>
      </c>
      <c r="G819" s="1562">
        <v>6583500</v>
      </c>
      <c r="H819" s="1562">
        <f t="shared" si="49"/>
        <v>13167000</v>
      </c>
      <c r="I819" s="1562">
        <v>2</v>
      </c>
      <c r="J819" s="1562">
        <v>6583500</v>
      </c>
      <c r="K819" s="1562">
        <f t="shared" si="50"/>
        <v>13167000</v>
      </c>
      <c r="L819" s="1562">
        <f t="shared" si="51"/>
        <v>0</v>
      </c>
      <c r="M819" s="1867" t="s">
        <v>3922</v>
      </c>
      <c r="N819" s="1867" t="s">
        <v>3804</v>
      </c>
    </row>
    <row r="820" spans="1:14">
      <c r="A820" s="1526">
        <v>702</v>
      </c>
      <c r="B820" s="1731">
        <v>163</v>
      </c>
      <c r="C820" s="1658" t="s">
        <v>4016</v>
      </c>
      <c r="D820" s="1872" t="s">
        <v>3926</v>
      </c>
      <c r="E820" s="1867" t="s">
        <v>3073</v>
      </c>
      <c r="F820" s="1562">
        <v>3</v>
      </c>
      <c r="G820" s="1562">
        <v>5197500</v>
      </c>
      <c r="H820" s="1562">
        <f t="shared" si="49"/>
        <v>15592500</v>
      </c>
      <c r="I820" s="1562">
        <v>3</v>
      </c>
      <c r="J820" s="1562">
        <v>5197500</v>
      </c>
      <c r="K820" s="1562">
        <f t="shared" si="50"/>
        <v>15592500</v>
      </c>
      <c r="L820" s="1562">
        <f t="shared" si="51"/>
        <v>0</v>
      </c>
      <c r="M820" s="1867" t="s">
        <v>3922</v>
      </c>
      <c r="N820" s="1867" t="s">
        <v>3804</v>
      </c>
    </row>
    <row r="821" spans="1:14" ht="18">
      <c r="A821" s="1526">
        <v>703</v>
      </c>
      <c r="B821" s="1731">
        <v>164</v>
      </c>
      <c r="C821" s="1658" t="s">
        <v>4017</v>
      </c>
      <c r="D821" s="1872" t="s">
        <v>3921</v>
      </c>
      <c r="E821" s="1867" t="s">
        <v>3073</v>
      </c>
      <c r="F821" s="1562">
        <v>2</v>
      </c>
      <c r="G821" s="1562">
        <v>2263800</v>
      </c>
      <c r="H821" s="1562">
        <f t="shared" si="49"/>
        <v>4527600</v>
      </c>
      <c r="I821" s="1562">
        <v>2</v>
      </c>
      <c r="J821" s="1562">
        <v>2263800</v>
      </c>
      <c r="K821" s="1562">
        <f t="shared" si="50"/>
        <v>4527600</v>
      </c>
      <c r="L821" s="1562">
        <f t="shared" si="51"/>
        <v>0</v>
      </c>
      <c r="M821" s="1867" t="s">
        <v>4018</v>
      </c>
      <c r="N821" s="1867" t="s">
        <v>3804</v>
      </c>
    </row>
    <row r="822" spans="1:14" ht="18">
      <c r="A822" s="1526">
        <v>704</v>
      </c>
      <c r="B822" s="1731">
        <v>165</v>
      </c>
      <c r="C822" s="1658" t="s">
        <v>4019</v>
      </c>
      <c r="D822" s="1872" t="s">
        <v>4020</v>
      </c>
      <c r="E822" s="1867" t="s">
        <v>3073</v>
      </c>
      <c r="F822" s="1562">
        <v>2</v>
      </c>
      <c r="G822" s="1562">
        <v>1963500</v>
      </c>
      <c r="H822" s="1562">
        <f t="shared" si="49"/>
        <v>3927000</v>
      </c>
      <c r="I822" s="1562">
        <v>2</v>
      </c>
      <c r="J822" s="1562">
        <v>1963500</v>
      </c>
      <c r="K822" s="1562">
        <f t="shared" si="50"/>
        <v>3927000</v>
      </c>
      <c r="L822" s="1562">
        <f t="shared" si="51"/>
        <v>0</v>
      </c>
      <c r="M822" s="1867" t="s">
        <v>4018</v>
      </c>
      <c r="N822" s="1867" t="s">
        <v>3804</v>
      </c>
    </row>
    <row r="823" spans="1:14">
      <c r="A823" s="1526">
        <v>705</v>
      </c>
      <c r="B823" s="1731">
        <v>166</v>
      </c>
      <c r="C823" s="1658" t="s">
        <v>4021</v>
      </c>
      <c r="D823" s="1872" t="s">
        <v>3926</v>
      </c>
      <c r="E823" s="1867" t="s">
        <v>3073</v>
      </c>
      <c r="F823" s="1562">
        <v>3</v>
      </c>
      <c r="G823" s="1562">
        <v>4125660</v>
      </c>
      <c r="H823" s="1562">
        <f t="shared" ref="H823:H844" si="52">G823*F823</f>
        <v>12376980</v>
      </c>
      <c r="I823" s="1562">
        <v>3</v>
      </c>
      <c r="J823" s="1562">
        <v>4125660</v>
      </c>
      <c r="K823" s="1562">
        <f t="shared" si="50"/>
        <v>12376980</v>
      </c>
      <c r="L823" s="1562">
        <f t="shared" si="51"/>
        <v>0</v>
      </c>
      <c r="M823" s="1867" t="s">
        <v>4018</v>
      </c>
      <c r="N823" s="1867" t="s">
        <v>3804</v>
      </c>
    </row>
    <row r="824" spans="1:14">
      <c r="A824" s="1526">
        <v>706</v>
      </c>
      <c r="B824" s="1731">
        <v>167</v>
      </c>
      <c r="C824" s="1658" t="s">
        <v>4022</v>
      </c>
      <c r="D824" s="1872" t="s">
        <v>4023</v>
      </c>
      <c r="E824" s="1867" t="s">
        <v>3073</v>
      </c>
      <c r="F824" s="1562">
        <v>3</v>
      </c>
      <c r="G824" s="1562">
        <v>824670</v>
      </c>
      <c r="H824" s="1562">
        <f t="shared" si="52"/>
        <v>2474010</v>
      </c>
      <c r="I824" s="1562">
        <v>3</v>
      </c>
      <c r="J824" s="1562">
        <v>824670</v>
      </c>
      <c r="K824" s="1562">
        <f t="shared" si="50"/>
        <v>2474010</v>
      </c>
      <c r="L824" s="1562">
        <f t="shared" si="51"/>
        <v>0</v>
      </c>
      <c r="M824" s="1867" t="s">
        <v>3929</v>
      </c>
      <c r="N824" s="1867" t="s">
        <v>3804</v>
      </c>
    </row>
    <row r="825" spans="1:14" ht="18">
      <c r="A825" s="1526">
        <v>707</v>
      </c>
      <c r="B825" s="1731">
        <v>168</v>
      </c>
      <c r="C825" s="1658" t="s">
        <v>4024</v>
      </c>
      <c r="D825" s="1872" t="s">
        <v>3934</v>
      </c>
      <c r="E825" s="1867" t="s">
        <v>3073</v>
      </c>
      <c r="F825" s="1562">
        <v>2</v>
      </c>
      <c r="G825" s="1562">
        <v>2263800</v>
      </c>
      <c r="H825" s="1562">
        <f t="shared" si="52"/>
        <v>4527600</v>
      </c>
      <c r="I825" s="1562">
        <v>2</v>
      </c>
      <c r="J825" s="1562">
        <v>2263800</v>
      </c>
      <c r="K825" s="1562">
        <f t="shared" si="50"/>
        <v>4527600</v>
      </c>
      <c r="L825" s="1562">
        <f t="shared" si="51"/>
        <v>0</v>
      </c>
      <c r="M825" s="1867" t="s">
        <v>3922</v>
      </c>
      <c r="N825" s="1867" t="s">
        <v>3804</v>
      </c>
    </row>
    <row r="826" spans="1:14" ht="18">
      <c r="A826" s="1526">
        <v>708</v>
      </c>
      <c r="B826" s="1731">
        <v>169</v>
      </c>
      <c r="C826" s="1658" t="s">
        <v>4025</v>
      </c>
      <c r="D826" s="1872" t="s">
        <v>4026</v>
      </c>
      <c r="E826" s="1867" t="s">
        <v>3073</v>
      </c>
      <c r="F826" s="1562">
        <v>2</v>
      </c>
      <c r="G826" s="1562">
        <v>1963500</v>
      </c>
      <c r="H826" s="1562">
        <f t="shared" si="52"/>
        <v>3927000</v>
      </c>
      <c r="I826" s="1562">
        <v>2</v>
      </c>
      <c r="J826" s="1562">
        <v>1963500</v>
      </c>
      <c r="K826" s="1562">
        <f t="shared" si="50"/>
        <v>3927000</v>
      </c>
      <c r="L826" s="1562">
        <f t="shared" si="51"/>
        <v>0</v>
      </c>
      <c r="M826" s="1867" t="s">
        <v>3922</v>
      </c>
      <c r="N826" s="1867" t="s">
        <v>3804</v>
      </c>
    </row>
    <row r="827" spans="1:14">
      <c r="A827" s="1526">
        <v>709</v>
      </c>
      <c r="B827" s="1731">
        <v>170</v>
      </c>
      <c r="C827" s="1658" t="s">
        <v>4027</v>
      </c>
      <c r="D827" s="1872" t="s">
        <v>3926</v>
      </c>
      <c r="E827" s="1867" t="s">
        <v>3073</v>
      </c>
      <c r="F827" s="1562">
        <v>3</v>
      </c>
      <c r="G827" s="1562">
        <v>5303760</v>
      </c>
      <c r="H827" s="1562">
        <f t="shared" si="52"/>
        <v>15911280</v>
      </c>
      <c r="I827" s="1562">
        <v>3</v>
      </c>
      <c r="J827" s="1562">
        <v>5303760</v>
      </c>
      <c r="K827" s="1562">
        <f t="shared" si="50"/>
        <v>15911280</v>
      </c>
      <c r="L827" s="1562">
        <f t="shared" si="51"/>
        <v>0</v>
      </c>
      <c r="M827" s="1867" t="s">
        <v>3922</v>
      </c>
      <c r="N827" s="1867" t="s">
        <v>3804</v>
      </c>
    </row>
    <row r="828" spans="1:14" ht="18">
      <c r="A828" s="1526">
        <v>710</v>
      </c>
      <c r="B828" s="1731">
        <v>171</v>
      </c>
      <c r="C828" s="1658" t="s">
        <v>4028</v>
      </c>
      <c r="D828" s="1872" t="s">
        <v>4029</v>
      </c>
      <c r="E828" s="1867" t="s">
        <v>3073</v>
      </c>
      <c r="F828" s="1562">
        <v>5</v>
      </c>
      <c r="G828" s="1562">
        <v>6185000</v>
      </c>
      <c r="H828" s="1562">
        <f t="shared" si="52"/>
        <v>30925000</v>
      </c>
      <c r="I828" s="1562">
        <v>5</v>
      </c>
      <c r="J828" s="1562">
        <v>6185000</v>
      </c>
      <c r="K828" s="1562">
        <f t="shared" si="50"/>
        <v>30925000</v>
      </c>
      <c r="L828" s="1562">
        <f t="shared" si="51"/>
        <v>0</v>
      </c>
      <c r="M828" s="1867" t="s">
        <v>3929</v>
      </c>
      <c r="N828" s="1867" t="s">
        <v>3804</v>
      </c>
    </row>
    <row r="829" spans="1:14">
      <c r="A829" s="1526">
        <v>711</v>
      </c>
      <c r="B829" s="1731">
        <v>172</v>
      </c>
      <c r="C829" s="1658" t="s">
        <v>4030</v>
      </c>
      <c r="D829" s="1872" t="s">
        <v>4031</v>
      </c>
      <c r="E829" s="1867" t="s">
        <v>4032</v>
      </c>
      <c r="F829" s="1562">
        <v>10</v>
      </c>
      <c r="G829" s="1562">
        <v>4335555</v>
      </c>
      <c r="H829" s="1562">
        <f t="shared" si="52"/>
        <v>43355550</v>
      </c>
      <c r="I829" s="1562">
        <v>10</v>
      </c>
      <c r="J829" s="1562">
        <v>4335555</v>
      </c>
      <c r="K829" s="1562">
        <f t="shared" si="50"/>
        <v>43355550</v>
      </c>
      <c r="L829" s="1562">
        <f t="shared" si="51"/>
        <v>0</v>
      </c>
      <c r="M829" s="1867" t="s">
        <v>3922</v>
      </c>
      <c r="N829" s="1867" t="s">
        <v>3804</v>
      </c>
    </row>
    <row r="830" spans="1:14">
      <c r="A830" s="1526">
        <v>712</v>
      </c>
      <c r="B830" s="1731">
        <v>173</v>
      </c>
      <c r="C830" s="1658" t="s">
        <v>4033</v>
      </c>
      <c r="D830" s="1872" t="s">
        <v>4034</v>
      </c>
      <c r="E830" s="1867" t="s">
        <v>3073</v>
      </c>
      <c r="F830" s="1562">
        <v>10</v>
      </c>
      <c r="G830" s="1562">
        <v>1062600</v>
      </c>
      <c r="H830" s="1562">
        <f t="shared" si="52"/>
        <v>10626000</v>
      </c>
      <c r="I830" s="1562">
        <v>10</v>
      </c>
      <c r="J830" s="1562">
        <v>1062600</v>
      </c>
      <c r="K830" s="1562">
        <f t="shared" si="50"/>
        <v>10626000</v>
      </c>
      <c r="L830" s="1562">
        <f t="shared" si="51"/>
        <v>0</v>
      </c>
      <c r="M830" s="1867" t="s">
        <v>3922</v>
      </c>
      <c r="N830" s="1867" t="s">
        <v>3804</v>
      </c>
    </row>
    <row r="831" spans="1:14" ht="18">
      <c r="A831" s="1526">
        <v>713</v>
      </c>
      <c r="B831" s="1731">
        <v>174</v>
      </c>
      <c r="C831" s="1658" t="s">
        <v>4035</v>
      </c>
      <c r="D831" s="1872" t="s">
        <v>4036</v>
      </c>
      <c r="E831" s="1867" t="s">
        <v>4032</v>
      </c>
      <c r="F831" s="1562">
        <v>25</v>
      </c>
      <c r="G831" s="1562">
        <v>2739000</v>
      </c>
      <c r="H831" s="1562">
        <f t="shared" si="52"/>
        <v>68475000</v>
      </c>
      <c r="I831" s="1562">
        <v>25</v>
      </c>
      <c r="J831" s="1562">
        <v>2739000</v>
      </c>
      <c r="K831" s="1562">
        <f t="shared" si="50"/>
        <v>68475000</v>
      </c>
      <c r="L831" s="1562">
        <f t="shared" si="51"/>
        <v>0</v>
      </c>
      <c r="M831" s="1867" t="s">
        <v>3922</v>
      </c>
      <c r="N831" s="1867" t="s">
        <v>3804</v>
      </c>
    </row>
    <row r="832" spans="1:14" ht="18">
      <c r="A832" s="1526">
        <v>714</v>
      </c>
      <c r="B832" s="1731">
        <v>175</v>
      </c>
      <c r="C832" s="1658" t="s">
        <v>4037</v>
      </c>
      <c r="D832" s="1872" t="s">
        <v>4038</v>
      </c>
      <c r="E832" s="1867" t="s">
        <v>4032</v>
      </c>
      <c r="F832" s="1562">
        <v>66</v>
      </c>
      <c r="G832" s="1562">
        <v>1185500</v>
      </c>
      <c r="H832" s="1562">
        <f t="shared" si="52"/>
        <v>78243000</v>
      </c>
      <c r="I832" s="1562">
        <v>66</v>
      </c>
      <c r="J832" s="1562">
        <v>1185500</v>
      </c>
      <c r="K832" s="1562">
        <f t="shared" si="50"/>
        <v>78243000</v>
      </c>
      <c r="L832" s="1562">
        <f t="shared" si="51"/>
        <v>0</v>
      </c>
      <c r="M832" s="1867" t="s">
        <v>3929</v>
      </c>
      <c r="N832" s="1867" t="s">
        <v>3804</v>
      </c>
    </row>
    <row r="833" spans="1:14" ht="18">
      <c r="A833" s="1526">
        <v>715</v>
      </c>
      <c r="B833" s="1731">
        <v>176</v>
      </c>
      <c r="C833" s="1658" t="s">
        <v>4039</v>
      </c>
      <c r="D833" s="1872" t="s">
        <v>4040</v>
      </c>
      <c r="E833" s="1867" t="s">
        <v>4032</v>
      </c>
      <c r="F833" s="1562">
        <v>10</v>
      </c>
      <c r="G833" s="1562">
        <v>1546000</v>
      </c>
      <c r="H833" s="1562">
        <f t="shared" si="52"/>
        <v>15460000</v>
      </c>
      <c r="I833" s="1562">
        <v>10</v>
      </c>
      <c r="J833" s="1562">
        <v>1546000</v>
      </c>
      <c r="K833" s="1562">
        <f t="shared" si="50"/>
        <v>15460000</v>
      </c>
      <c r="L833" s="1562">
        <f t="shared" si="51"/>
        <v>0</v>
      </c>
      <c r="M833" s="1867" t="s">
        <v>3929</v>
      </c>
      <c r="N833" s="1867" t="s">
        <v>3804</v>
      </c>
    </row>
    <row r="834" spans="1:14" ht="18">
      <c r="A834" s="1526">
        <v>716</v>
      </c>
      <c r="B834" s="1731">
        <v>177</v>
      </c>
      <c r="C834" s="1658" t="s">
        <v>4041</v>
      </c>
      <c r="D834" s="1872" t="s">
        <v>4042</v>
      </c>
      <c r="E834" s="1867" t="s">
        <v>4032</v>
      </c>
      <c r="F834" s="1562">
        <v>5</v>
      </c>
      <c r="G834" s="1562">
        <v>3706000</v>
      </c>
      <c r="H834" s="1562">
        <f t="shared" si="52"/>
        <v>18530000</v>
      </c>
      <c r="I834" s="1562">
        <v>5</v>
      </c>
      <c r="J834" s="1562">
        <v>3706000</v>
      </c>
      <c r="K834" s="1562">
        <f t="shared" si="50"/>
        <v>18530000</v>
      </c>
      <c r="L834" s="1562">
        <f t="shared" si="51"/>
        <v>0</v>
      </c>
      <c r="M834" s="1867" t="s">
        <v>3929</v>
      </c>
      <c r="N834" s="1867" t="s">
        <v>3804</v>
      </c>
    </row>
    <row r="835" spans="1:14">
      <c r="A835" s="1526">
        <v>717</v>
      </c>
      <c r="B835" s="1731">
        <v>178</v>
      </c>
      <c r="C835" s="1873" t="s">
        <v>4043</v>
      </c>
      <c r="D835" s="1526" t="s">
        <v>4044</v>
      </c>
      <c r="E835" s="1867" t="s">
        <v>435</v>
      </c>
      <c r="F835" s="1562">
        <v>3</v>
      </c>
      <c r="G835" s="1562">
        <v>2450000</v>
      </c>
      <c r="H835" s="1562">
        <f t="shared" si="52"/>
        <v>7350000</v>
      </c>
      <c r="I835" s="1562">
        <v>3</v>
      </c>
      <c r="J835" s="1562">
        <v>2450000</v>
      </c>
      <c r="K835" s="1562">
        <f t="shared" si="50"/>
        <v>7350000</v>
      </c>
      <c r="L835" s="1562">
        <f t="shared" si="51"/>
        <v>0</v>
      </c>
      <c r="M835" s="1867" t="s">
        <v>4045</v>
      </c>
      <c r="N835" s="1867" t="s">
        <v>3804</v>
      </c>
    </row>
    <row r="836" spans="1:14" ht="18">
      <c r="A836" s="1526">
        <v>718</v>
      </c>
      <c r="B836" s="1731">
        <v>179</v>
      </c>
      <c r="C836" s="1598" t="s">
        <v>4046</v>
      </c>
      <c r="D836" s="1526" t="s">
        <v>4047</v>
      </c>
      <c r="E836" s="1867" t="s">
        <v>435</v>
      </c>
      <c r="F836" s="1562">
        <v>3</v>
      </c>
      <c r="G836" s="1562">
        <v>2405000</v>
      </c>
      <c r="H836" s="1562">
        <f t="shared" si="52"/>
        <v>7215000</v>
      </c>
      <c r="I836" s="1562">
        <v>3</v>
      </c>
      <c r="J836" s="1562">
        <v>2405000</v>
      </c>
      <c r="K836" s="1562">
        <f t="shared" si="50"/>
        <v>7215000</v>
      </c>
      <c r="L836" s="1562">
        <f t="shared" si="51"/>
        <v>0</v>
      </c>
      <c r="M836" s="1867" t="s">
        <v>4045</v>
      </c>
      <c r="N836" s="1867" t="s">
        <v>3804</v>
      </c>
    </row>
    <row r="837" spans="1:14">
      <c r="A837" s="1526">
        <v>719</v>
      </c>
      <c r="B837" s="1731">
        <v>180</v>
      </c>
      <c r="C837" s="1874" t="s">
        <v>4048</v>
      </c>
      <c r="D837" s="1526" t="s">
        <v>4049</v>
      </c>
      <c r="E837" s="1867" t="s">
        <v>435</v>
      </c>
      <c r="F837" s="1562">
        <v>3</v>
      </c>
      <c r="G837" s="1562">
        <v>2450000</v>
      </c>
      <c r="H837" s="1562">
        <f t="shared" si="52"/>
        <v>7350000</v>
      </c>
      <c r="I837" s="1562">
        <v>3</v>
      </c>
      <c r="J837" s="1562">
        <v>2450000</v>
      </c>
      <c r="K837" s="1562">
        <f t="shared" si="50"/>
        <v>7350000</v>
      </c>
      <c r="L837" s="1562">
        <f t="shared" si="51"/>
        <v>0</v>
      </c>
      <c r="M837" s="1867" t="s">
        <v>4045</v>
      </c>
      <c r="N837" s="1867" t="s">
        <v>3804</v>
      </c>
    </row>
    <row r="838" spans="1:14">
      <c r="A838" s="1526">
        <v>720</v>
      </c>
      <c r="B838" s="1731">
        <v>181</v>
      </c>
      <c r="C838" s="1874" t="s">
        <v>4050</v>
      </c>
      <c r="D838" s="1526" t="s">
        <v>4051</v>
      </c>
      <c r="E838" s="1867" t="s">
        <v>435</v>
      </c>
      <c r="F838" s="1562">
        <v>3</v>
      </c>
      <c r="G838" s="1562">
        <v>2405000</v>
      </c>
      <c r="H838" s="1562">
        <f t="shared" si="52"/>
        <v>7215000</v>
      </c>
      <c r="I838" s="1562">
        <v>3</v>
      </c>
      <c r="J838" s="1562">
        <v>2405000</v>
      </c>
      <c r="K838" s="1562">
        <f t="shared" si="50"/>
        <v>7215000</v>
      </c>
      <c r="L838" s="1562">
        <f t="shared" si="51"/>
        <v>0</v>
      </c>
      <c r="M838" s="1867" t="s">
        <v>4045</v>
      </c>
      <c r="N838" s="1867" t="s">
        <v>3804</v>
      </c>
    </row>
    <row r="839" spans="1:14">
      <c r="A839" s="1526">
        <v>721</v>
      </c>
      <c r="B839" s="1731">
        <v>182</v>
      </c>
      <c r="C839" s="1874" t="s">
        <v>4052</v>
      </c>
      <c r="D839" s="1526" t="s">
        <v>3905</v>
      </c>
      <c r="E839" s="1867" t="s">
        <v>435</v>
      </c>
      <c r="F839" s="1562">
        <v>10</v>
      </c>
      <c r="G839" s="1562">
        <v>9880000</v>
      </c>
      <c r="H839" s="1562">
        <f t="shared" si="52"/>
        <v>98800000</v>
      </c>
      <c r="I839" s="1562">
        <v>10</v>
      </c>
      <c r="J839" s="1562">
        <v>9880000</v>
      </c>
      <c r="K839" s="1562">
        <f t="shared" si="50"/>
        <v>98800000</v>
      </c>
      <c r="L839" s="1562">
        <f t="shared" si="51"/>
        <v>0</v>
      </c>
      <c r="M839" s="1867" t="s">
        <v>4045</v>
      </c>
      <c r="N839" s="1867" t="s">
        <v>3804</v>
      </c>
    </row>
    <row r="840" spans="1:14">
      <c r="A840" s="1526">
        <v>722</v>
      </c>
      <c r="B840" s="1731">
        <v>183</v>
      </c>
      <c r="C840" s="1598" t="s">
        <v>4053</v>
      </c>
      <c r="D840" s="1526" t="s">
        <v>4049</v>
      </c>
      <c r="E840" s="1867" t="s">
        <v>435</v>
      </c>
      <c r="F840" s="1562">
        <v>3</v>
      </c>
      <c r="G840" s="1562">
        <v>2450000</v>
      </c>
      <c r="H840" s="1562">
        <f t="shared" si="52"/>
        <v>7350000</v>
      </c>
      <c r="I840" s="1562">
        <v>3</v>
      </c>
      <c r="J840" s="1562">
        <v>2450000</v>
      </c>
      <c r="K840" s="1562">
        <f t="shared" si="50"/>
        <v>7350000</v>
      </c>
      <c r="L840" s="1562">
        <f t="shared" si="51"/>
        <v>0</v>
      </c>
      <c r="M840" s="1867" t="s">
        <v>4045</v>
      </c>
      <c r="N840" s="1867" t="s">
        <v>3804</v>
      </c>
    </row>
    <row r="841" spans="1:14">
      <c r="A841" s="1526">
        <v>723</v>
      </c>
      <c r="B841" s="1731">
        <v>184</v>
      </c>
      <c r="C841" s="1874" t="s">
        <v>4054</v>
      </c>
      <c r="D841" s="1526" t="s">
        <v>4051</v>
      </c>
      <c r="E841" s="1867" t="s">
        <v>435</v>
      </c>
      <c r="F841" s="1562">
        <v>2</v>
      </c>
      <c r="G841" s="1562">
        <v>2405000</v>
      </c>
      <c r="H841" s="1562">
        <f t="shared" si="52"/>
        <v>4810000</v>
      </c>
      <c r="I841" s="1562">
        <v>2</v>
      </c>
      <c r="J841" s="1562">
        <v>2405000</v>
      </c>
      <c r="K841" s="1562">
        <f t="shared" si="50"/>
        <v>4810000</v>
      </c>
      <c r="L841" s="1562">
        <f t="shared" si="51"/>
        <v>0</v>
      </c>
      <c r="M841" s="1867" t="s">
        <v>4045</v>
      </c>
      <c r="N841" s="1867" t="s">
        <v>3804</v>
      </c>
    </row>
    <row r="842" spans="1:14">
      <c r="A842" s="1526">
        <v>724</v>
      </c>
      <c r="B842" s="1731">
        <v>185</v>
      </c>
      <c r="C842" s="1874" t="s">
        <v>4055</v>
      </c>
      <c r="D842" s="1526" t="s">
        <v>3905</v>
      </c>
      <c r="E842" s="1867" t="s">
        <v>435</v>
      </c>
      <c r="F842" s="1562">
        <v>5</v>
      </c>
      <c r="G842" s="1562">
        <v>9880000</v>
      </c>
      <c r="H842" s="1562">
        <f t="shared" si="52"/>
        <v>49400000</v>
      </c>
      <c r="I842" s="1562">
        <v>5</v>
      </c>
      <c r="J842" s="1562">
        <v>9880000</v>
      </c>
      <c r="K842" s="1562">
        <f t="shared" si="50"/>
        <v>49400000</v>
      </c>
      <c r="L842" s="1562">
        <f t="shared" si="51"/>
        <v>0</v>
      </c>
      <c r="M842" s="1867" t="s">
        <v>4045</v>
      </c>
      <c r="N842" s="1867" t="s">
        <v>3804</v>
      </c>
    </row>
    <row r="843" spans="1:14">
      <c r="A843" s="1526">
        <v>725</v>
      </c>
      <c r="B843" s="1731">
        <v>186</v>
      </c>
      <c r="C843" s="1875" t="s">
        <v>4056</v>
      </c>
      <c r="D843" s="1526" t="s">
        <v>4057</v>
      </c>
      <c r="E843" s="1867" t="s">
        <v>435</v>
      </c>
      <c r="F843" s="1562">
        <v>2</v>
      </c>
      <c r="G843" s="1562">
        <v>2450000</v>
      </c>
      <c r="H843" s="1562">
        <f t="shared" si="52"/>
        <v>4900000</v>
      </c>
      <c r="I843" s="1562">
        <v>2</v>
      </c>
      <c r="J843" s="1562">
        <v>2450000</v>
      </c>
      <c r="K843" s="1562">
        <f t="shared" si="50"/>
        <v>4900000</v>
      </c>
      <c r="L843" s="1562">
        <f t="shared" si="51"/>
        <v>0</v>
      </c>
      <c r="M843" s="1867" t="s">
        <v>4045</v>
      </c>
      <c r="N843" s="1867" t="s">
        <v>3804</v>
      </c>
    </row>
    <row r="844" spans="1:14">
      <c r="A844" s="1540">
        <v>726</v>
      </c>
      <c r="B844" s="1734">
        <v>187</v>
      </c>
      <c r="C844" s="1876" t="s">
        <v>4058</v>
      </c>
      <c r="D844" s="1540" t="s">
        <v>3905</v>
      </c>
      <c r="E844" s="1877" t="s">
        <v>435</v>
      </c>
      <c r="F844" s="1631">
        <v>7</v>
      </c>
      <c r="G844" s="1631">
        <v>6442007</v>
      </c>
      <c r="H844" s="1631">
        <f t="shared" si="52"/>
        <v>45094049</v>
      </c>
      <c r="I844" s="1631">
        <v>7</v>
      </c>
      <c r="J844" s="1631">
        <v>6442007</v>
      </c>
      <c r="K844" s="1631">
        <f t="shared" si="50"/>
        <v>45094049</v>
      </c>
      <c r="L844" s="1631">
        <f t="shared" si="51"/>
        <v>0</v>
      </c>
      <c r="M844" s="1877" t="s">
        <v>4045</v>
      </c>
      <c r="N844" s="1877" t="s">
        <v>3804</v>
      </c>
    </row>
    <row r="845" spans="1:14">
      <c r="A845" s="1504"/>
      <c r="B845" s="1686"/>
      <c r="C845" s="1504" t="s">
        <v>958</v>
      </c>
      <c r="D845" s="1686"/>
      <c r="E845" s="1686"/>
      <c r="F845" s="1687"/>
      <c r="G845" s="1878"/>
      <c r="H845" s="1879">
        <f>SUM(H658:H844)</f>
        <v>8835739547</v>
      </c>
      <c r="I845" s="1879"/>
      <c r="J845" s="1879"/>
      <c r="K845" s="1879">
        <f>SUM(K658:K844)</f>
        <v>8835739547</v>
      </c>
      <c r="L845" s="1880"/>
      <c r="M845" s="1881"/>
      <c r="N845" s="1882"/>
    </row>
    <row r="849" spans="1:14">
      <c r="A849" s="2196" t="s">
        <v>4059</v>
      </c>
      <c r="B849" s="2196"/>
      <c r="C849" s="2196"/>
      <c r="D849" s="2196"/>
      <c r="E849" s="2196"/>
      <c r="F849" s="2196"/>
      <c r="G849" s="2196"/>
      <c r="H849" s="2196"/>
      <c r="I849" s="2196"/>
      <c r="J849" s="2196"/>
      <c r="K849" s="2196"/>
      <c r="L849" s="1475"/>
    </row>
    <row r="850" spans="1:14">
      <c r="B850" s="1515"/>
      <c r="C850" s="1515"/>
      <c r="D850" s="1515"/>
      <c r="E850" s="1515"/>
      <c r="F850" s="1589"/>
      <c r="G850" s="1589"/>
      <c r="H850" s="1589"/>
    </row>
    <row r="851" spans="1:14" ht="27">
      <c r="A851" s="2197" t="s">
        <v>2901</v>
      </c>
      <c r="B851" s="2199" t="s">
        <v>2902</v>
      </c>
      <c r="C851" s="2199" t="s">
        <v>2607</v>
      </c>
      <c r="D851" s="2212" t="s">
        <v>2608</v>
      </c>
      <c r="E851" s="2233" t="s">
        <v>2609</v>
      </c>
      <c r="F851" s="2205" t="s">
        <v>2903</v>
      </c>
      <c r="G851" s="2206"/>
      <c r="H851" s="2207"/>
      <c r="I851" s="2205" t="s">
        <v>2904</v>
      </c>
      <c r="J851" s="2206"/>
      <c r="K851" s="2207"/>
      <c r="L851" s="1476" t="s">
        <v>2905</v>
      </c>
      <c r="M851" s="2197" t="s">
        <v>2906</v>
      </c>
      <c r="N851" s="2208" t="s">
        <v>2907</v>
      </c>
    </row>
    <row r="852" spans="1:14">
      <c r="A852" s="2198"/>
      <c r="B852" s="2200"/>
      <c r="C852" s="2200"/>
      <c r="D852" s="2212"/>
      <c r="E852" s="2233"/>
      <c r="F852" s="1477" t="s">
        <v>2908</v>
      </c>
      <c r="G852" s="1476" t="s">
        <v>2611</v>
      </c>
      <c r="H852" s="1478" t="s">
        <v>2612</v>
      </c>
      <c r="I852" s="1477" t="s">
        <v>2908</v>
      </c>
      <c r="J852" s="1476" t="s">
        <v>2611</v>
      </c>
      <c r="K852" s="1478" t="s">
        <v>2612</v>
      </c>
      <c r="L852" s="1865"/>
      <c r="M852" s="2198"/>
      <c r="N852" s="2209"/>
    </row>
    <row r="853" spans="1:14">
      <c r="A853" s="1480">
        <v>727</v>
      </c>
      <c r="B853" s="1883">
        <v>1</v>
      </c>
      <c r="C853" s="1884" t="s">
        <v>4060</v>
      </c>
      <c r="D853" s="1885" t="s">
        <v>4061</v>
      </c>
      <c r="E853" s="1886" t="s">
        <v>481</v>
      </c>
      <c r="F853" s="1887">
        <v>8</v>
      </c>
      <c r="G853" s="1887">
        <v>2744000</v>
      </c>
      <c r="H853" s="1887">
        <f>G853*F853</f>
        <v>21952000</v>
      </c>
      <c r="I853" s="1887">
        <v>8</v>
      </c>
      <c r="J853" s="1887">
        <v>2800000</v>
      </c>
      <c r="K853" s="1887">
        <f>I853*J853</f>
        <v>22400000</v>
      </c>
      <c r="L853" s="1887">
        <f t="shared" ref="L853:L916" si="53">J853-G853</f>
        <v>56000</v>
      </c>
      <c r="M853" s="1888" t="s">
        <v>4062</v>
      </c>
      <c r="N853" s="1675" t="s">
        <v>4063</v>
      </c>
    </row>
    <row r="854" spans="1:14">
      <c r="A854" s="1699">
        <v>728</v>
      </c>
      <c r="B854" s="1700">
        <v>2</v>
      </c>
      <c r="C854" s="1889" t="s">
        <v>4064</v>
      </c>
      <c r="D854" s="1890" t="s">
        <v>4065</v>
      </c>
      <c r="E854" s="1891" t="s">
        <v>481</v>
      </c>
      <c r="F854" s="1843">
        <v>50</v>
      </c>
      <c r="G854" s="1843">
        <v>161700</v>
      </c>
      <c r="H854" s="1843">
        <f t="shared" ref="H854:H917" si="54">G854*F854</f>
        <v>8085000</v>
      </c>
      <c r="I854" s="1843">
        <v>50</v>
      </c>
      <c r="J854" s="1843">
        <v>165000</v>
      </c>
      <c r="K854" s="1843">
        <f t="shared" ref="K854:K917" si="55">I854*J854</f>
        <v>8250000</v>
      </c>
      <c r="L854" s="1843">
        <f t="shared" si="53"/>
        <v>3300</v>
      </c>
      <c r="M854" s="1892" t="s">
        <v>261</v>
      </c>
      <c r="N854" s="1658" t="s">
        <v>4063</v>
      </c>
    </row>
    <row r="855" spans="1:14">
      <c r="A855" s="1488">
        <v>729</v>
      </c>
      <c r="B855" s="1707">
        <v>3</v>
      </c>
      <c r="C855" s="1889" t="s">
        <v>4066</v>
      </c>
      <c r="D855" s="1890" t="s">
        <v>4065</v>
      </c>
      <c r="E855" s="1891" t="s">
        <v>481</v>
      </c>
      <c r="F855" s="1843">
        <v>20</v>
      </c>
      <c r="G855" s="1843">
        <v>931000</v>
      </c>
      <c r="H855" s="1843">
        <f t="shared" si="54"/>
        <v>18620000</v>
      </c>
      <c r="I855" s="1843">
        <v>20</v>
      </c>
      <c r="J855" s="1843">
        <v>950000</v>
      </c>
      <c r="K855" s="1843">
        <f t="shared" si="55"/>
        <v>19000000</v>
      </c>
      <c r="L855" s="1843">
        <f t="shared" si="53"/>
        <v>19000</v>
      </c>
      <c r="M855" s="1892" t="s">
        <v>261</v>
      </c>
      <c r="N855" s="1658" t="s">
        <v>4063</v>
      </c>
    </row>
    <row r="856" spans="1:14">
      <c r="A856" s="1488">
        <v>730</v>
      </c>
      <c r="B856" s="1707">
        <v>4</v>
      </c>
      <c r="C856" s="1889" t="s">
        <v>4067</v>
      </c>
      <c r="D856" s="1890" t="s">
        <v>4068</v>
      </c>
      <c r="E856" s="1891" t="s">
        <v>3498</v>
      </c>
      <c r="F856" s="1843">
        <v>10</v>
      </c>
      <c r="G856" s="1843">
        <v>1764000</v>
      </c>
      <c r="H856" s="1843">
        <f t="shared" si="54"/>
        <v>17640000</v>
      </c>
      <c r="I856" s="1843">
        <v>10</v>
      </c>
      <c r="J856" s="1843">
        <v>1800000</v>
      </c>
      <c r="K856" s="1843">
        <f t="shared" si="55"/>
        <v>18000000</v>
      </c>
      <c r="L856" s="1843">
        <f t="shared" si="53"/>
        <v>36000</v>
      </c>
      <c r="M856" s="1892" t="s">
        <v>261</v>
      </c>
      <c r="N856" s="1658" t="s">
        <v>4063</v>
      </c>
    </row>
    <row r="857" spans="1:14">
      <c r="A857" s="1488">
        <v>731</v>
      </c>
      <c r="B857" s="1707">
        <v>5</v>
      </c>
      <c r="C857" s="1889" t="s">
        <v>4069</v>
      </c>
      <c r="D857" s="1890" t="s">
        <v>4070</v>
      </c>
      <c r="E857" s="1891" t="s">
        <v>677</v>
      </c>
      <c r="F857" s="1843">
        <v>150</v>
      </c>
      <c r="G857" s="1843">
        <v>470400</v>
      </c>
      <c r="H857" s="1843">
        <f t="shared" si="54"/>
        <v>70560000</v>
      </c>
      <c r="I857" s="1843">
        <v>150</v>
      </c>
      <c r="J857" s="1843">
        <v>480000</v>
      </c>
      <c r="K857" s="1843">
        <f t="shared" si="55"/>
        <v>72000000</v>
      </c>
      <c r="L857" s="1843">
        <f t="shared" si="53"/>
        <v>9600</v>
      </c>
      <c r="M857" s="1892" t="s">
        <v>4071</v>
      </c>
      <c r="N857" s="1658" t="s">
        <v>4063</v>
      </c>
    </row>
    <row r="858" spans="1:14">
      <c r="A858" s="1488">
        <v>732</v>
      </c>
      <c r="B858" s="1707">
        <v>6</v>
      </c>
      <c r="C858" s="1889" t="s">
        <v>4072</v>
      </c>
      <c r="D858" s="1890" t="s">
        <v>4065</v>
      </c>
      <c r="E858" s="1891" t="s">
        <v>3498</v>
      </c>
      <c r="F858" s="1843">
        <v>5</v>
      </c>
      <c r="G858" s="1843">
        <v>784000</v>
      </c>
      <c r="H858" s="1843">
        <f t="shared" si="54"/>
        <v>3920000</v>
      </c>
      <c r="I858" s="1843">
        <v>5</v>
      </c>
      <c r="J858" s="1843">
        <v>800000</v>
      </c>
      <c r="K858" s="1843">
        <f t="shared" si="55"/>
        <v>4000000</v>
      </c>
      <c r="L858" s="1843">
        <f t="shared" si="53"/>
        <v>16000</v>
      </c>
      <c r="M858" s="1892" t="s">
        <v>4073</v>
      </c>
      <c r="N858" s="1658" t="s">
        <v>4063</v>
      </c>
    </row>
    <row r="859" spans="1:14">
      <c r="A859" s="1488">
        <v>733</v>
      </c>
      <c r="B859" s="1707">
        <v>7</v>
      </c>
      <c r="C859" s="1889" t="s">
        <v>4074</v>
      </c>
      <c r="D859" s="1890" t="s">
        <v>4075</v>
      </c>
      <c r="E859" s="1891" t="s">
        <v>3498</v>
      </c>
      <c r="F859" s="1843">
        <v>5</v>
      </c>
      <c r="G859" s="1843">
        <v>1617000</v>
      </c>
      <c r="H859" s="1843">
        <f t="shared" si="54"/>
        <v>8085000</v>
      </c>
      <c r="I859" s="1843">
        <v>5</v>
      </c>
      <c r="J859" s="1843">
        <v>1650000</v>
      </c>
      <c r="K859" s="1843">
        <f t="shared" si="55"/>
        <v>8250000</v>
      </c>
      <c r="L859" s="1843">
        <f t="shared" si="53"/>
        <v>33000</v>
      </c>
      <c r="M859" s="1892" t="s">
        <v>4071</v>
      </c>
      <c r="N859" s="1658" t="s">
        <v>4063</v>
      </c>
    </row>
    <row r="860" spans="1:14">
      <c r="A860" s="1488">
        <v>734</v>
      </c>
      <c r="B860" s="1707">
        <v>8</v>
      </c>
      <c r="C860" s="1889" t="s">
        <v>4076</v>
      </c>
      <c r="D860" s="1890" t="s">
        <v>4077</v>
      </c>
      <c r="E860" s="1891" t="s">
        <v>2055</v>
      </c>
      <c r="F860" s="1843">
        <v>5</v>
      </c>
      <c r="G860" s="1843">
        <v>764400</v>
      </c>
      <c r="H860" s="1843">
        <f t="shared" si="54"/>
        <v>3822000</v>
      </c>
      <c r="I860" s="1843">
        <v>5</v>
      </c>
      <c r="J860" s="1843">
        <v>780000</v>
      </c>
      <c r="K860" s="1843">
        <f t="shared" si="55"/>
        <v>3900000</v>
      </c>
      <c r="L860" s="1843">
        <f t="shared" si="53"/>
        <v>15600</v>
      </c>
      <c r="M860" s="1892" t="s">
        <v>4071</v>
      </c>
      <c r="N860" s="1658" t="s">
        <v>4063</v>
      </c>
    </row>
    <row r="861" spans="1:14">
      <c r="A861" s="1488">
        <v>735</v>
      </c>
      <c r="B861" s="1707">
        <v>9</v>
      </c>
      <c r="C861" s="1889" t="s">
        <v>4078</v>
      </c>
      <c r="D861" s="1890" t="s">
        <v>4079</v>
      </c>
      <c r="E861" s="1891" t="s">
        <v>192</v>
      </c>
      <c r="F861" s="1843">
        <v>10</v>
      </c>
      <c r="G861" s="1843">
        <v>8036000</v>
      </c>
      <c r="H861" s="1843">
        <f t="shared" si="54"/>
        <v>80360000</v>
      </c>
      <c r="I861" s="1843">
        <v>10</v>
      </c>
      <c r="J861" s="1843">
        <v>8200000</v>
      </c>
      <c r="K861" s="1843">
        <f t="shared" si="55"/>
        <v>82000000</v>
      </c>
      <c r="L861" s="1843">
        <f t="shared" si="53"/>
        <v>164000</v>
      </c>
      <c r="M861" s="1892" t="s">
        <v>4071</v>
      </c>
      <c r="N861" s="1658" t="s">
        <v>4063</v>
      </c>
    </row>
    <row r="862" spans="1:14">
      <c r="A862" s="1488">
        <v>736</v>
      </c>
      <c r="B862" s="1707">
        <v>10</v>
      </c>
      <c r="C862" s="1889" t="s">
        <v>4080</v>
      </c>
      <c r="D862" s="1890" t="s">
        <v>4081</v>
      </c>
      <c r="E862" s="1891" t="s">
        <v>435</v>
      </c>
      <c r="F862" s="1843">
        <v>2</v>
      </c>
      <c r="G862" s="1843">
        <v>4998000</v>
      </c>
      <c r="H862" s="1843">
        <f t="shared" si="54"/>
        <v>9996000</v>
      </c>
      <c r="I862" s="1843">
        <v>2</v>
      </c>
      <c r="J862" s="1843">
        <v>5100000</v>
      </c>
      <c r="K862" s="1843">
        <f t="shared" si="55"/>
        <v>10200000</v>
      </c>
      <c r="L862" s="1843">
        <f t="shared" si="53"/>
        <v>102000</v>
      </c>
      <c r="M862" s="1892" t="s">
        <v>4071</v>
      </c>
      <c r="N862" s="1658" t="s">
        <v>4063</v>
      </c>
    </row>
    <row r="863" spans="1:14">
      <c r="A863" s="1488">
        <v>737</v>
      </c>
      <c r="B863" s="1707">
        <v>11</v>
      </c>
      <c r="C863" s="1889" t="s">
        <v>4082</v>
      </c>
      <c r="D863" s="1890" t="s">
        <v>4081</v>
      </c>
      <c r="E863" s="1891" t="s">
        <v>435</v>
      </c>
      <c r="F863" s="1843">
        <v>20</v>
      </c>
      <c r="G863" s="1843">
        <v>4998000</v>
      </c>
      <c r="H863" s="1843">
        <f t="shared" si="54"/>
        <v>99960000</v>
      </c>
      <c r="I863" s="1843">
        <v>20</v>
      </c>
      <c r="J863" s="1843">
        <v>5100000</v>
      </c>
      <c r="K863" s="1843">
        <f t="shared" si="55"/>
        <v>102000000</v>
      </c>
      <c r="L863" s="1843">
        <f t="shared" si="53"/>
        <v>102000</v>
      </c>
      <c r="M863" s="1892" t="s">
        <v>4071</v>
      </c>
      <c r="N863" s="1658" t="s">
        <v>4063</v>
      </c>
    </row>
    <row r="864" spans="1:14">
      <c r="A864" s="1488">
        <v>738</v>
      </c>
      <c r="B864" s="1707">
        <v>12</v>
      </c>
      <c r="C864" s="1889" t="s">
        <v>4083</v>
      </c>
      <c r="D864" s="1890" t="s">
        <v>4084</v>
      </c>
      <c r="E864" s="1891" t="s">
        <v>47</v>
      </c>
      <c r="F864" s="1843">
        <v>16000</v>
      </c>
      <c r="G864" s="1843">
        <v>2450</v>
      </c>
      <c r="H864" s="1843">
        <f t="shared" si="54"/>
        <v>39200000</v>
      </c>
      <c r="I864" s="1843">
        <v>16000</v>
      </c>
      <c r="J864" s="1843">
        <v>2500</v>
      </c>
      <c r="K864" s="1843">
        <f t="shared" si="55"/>
        <v>40000000</v>
      </c>
      <c r="L864" s="1843">
        <f t="shared" si="53"/>
        <v>50</v>
      </c>
      <c r="M864" s="1892" t="s">
        <v>4085</v>
      </c>
      <c r="N864" s="1658" t="s">
        <v>4063</v>
      </c>
    </row>
    <row r="865" spans="1:14">
      <c r="A865" s="1488">
        <v>739</v>
      </c>
      <c r="B865" s="1707">
        <v>13</v>
      </c>
      <c r="C865" s="1893" t="s">
        <v>4086</v>
      </c>
      <c r="D865" s="1890" t="s">
        <v>4087</v>
      </c>
      <c r="E865" s="1891" t="s">
        <v>47</v>
      </c>
      <c r="F865" s="1843">
        <v>16000</v>
      </c>
      <c r="G865" s="1843">
        <v>2156</v>
      </c>
      <c r="H865" s="1843">
        <f t="shared" si="54"/>
        <v>34496000</v>
      </c>
      <c r="I865" s="1843">
        <v>16000</v>
      </c>
      <c r="J865" s="1843">
        <v>2200</v>
      </c>
      <c r="K865" s="1843">
        <f t="shared" si="55"/>
        <v>35200000</v>
      </c>
      <c r="L865" s="1843">
        <f t="shared" si="53"/>
        <v>44</v>
      </c>
      <c r="M865" s="1892" t="s">
        <v>4085</v>
      </c>
      <c r="N865" s="1658" t="s">
        <v>4063</v>
      </c>
    </row>
    <row r="866" spans="1:14">
      <c r="A866" s="1488">
        <v>740</v>
      </c>
      <c r="B866" s="1707">
        <v>14</v>
      </c>
      <c r="C866" s="1894" t="s">
        <v>4088</v>
      </c>
      <c r="D866" s="1890" t="s">
        <v>132</v>
      </c>
      <c r="E866" s="1891" t="s">
        <v>435</v>
      </c>
      <c r="F866" s="1843">
        <v>500</v>
      </c>
      <c r="G866" s="1843">
        <v>147000</v>
      </c>
      <c r="H866" s="1843">
        <f t="shared" si="54"/>
        <v>73500000</v>
      </c>
      <c r="I866" s="1843">
        <v>500</v>
      </c>
      <c r="J866" s="1843">
        <v>150000</v>
      </c>
      <c r="K866" s="1843">
        <f t="shared" si="55"/>
        <v>75000000</v>
      </c>
      <c r="L866" s="1843">
        <f t="shared" si="53"/>
        <v>3000</v>
      </c>
      <c r="M866" s="1892" t="s">
        <v>4089</v>
      </c>
      <c r="N866" s="1658" t="s">
        <v>4063</v>
      </c>
    </row>
    <row r="867" spans="1:14">
      <c r="A867" s="1488">
        <v>741</v>
      </c>
      <c r="B867" s="1707">
        <v>15</v>
      </c>
      <c r="C867" s="1893" t="s">
        <v>4090</v>
      </c>
      <c r="D867" s="1890" t="s">
        <v>4091</v>
      </c>
      <c r="E867" s="1891" t="s">
        <v>435</v>
      </c>
      <c r="F867" s="1843">
        <v>20</v>
      </c>
      <c r="G867" s="1843">
        <v>4018000</v>
      </c>
      <c r="H867" s="1843">
        <f t="shared" si="54"/>
        <v>80360000</v>
      </c>
      <c r="I867" s="1843">
        <v>20</v>
      </c>
      <c r="J867" s="1843">
        <v>4100000</v>
      </c>
      <c r="K867" s="1843">
        <f t="shared" si="55"/>
        <v>82000000</v>
      </c>
      <c r="L867" s="1843">
        <f t="shared" si="53"/>
        <v>82000</v>
      </c>
      <c r="M867" s="1892" t="s">
        <v>4092</v>
      </c>
      <c r="N867" s="1658" t="s">
        <v>4063</v>
      </c>
    </row>
    <row r="868" spans="1:14">
      <c r="A868" s="1488">
        <v>742</v>
      </c>
      <c r="B868" s="1707">
        <v>16</v>
      </c>
      <c r="C868" s="1889" t="s">
        <v>4093</v>
      </c>
      <c r="D868" s="1890" t="s">
        <v>4094</v>
      </c>
      <c r="E868" s="1891" t="s">
        <v>435</v>
      </c>
      <c r="F868" s="1843">
        <v>10</v>
      </c>
      <c r="G868" s="1843">
        <v>5096000</v>
      </c>
      <c r="H868" s="1843">
        <f t="shared" si="54"/>
        <v>50960000</v>
      </c>
      <c r="I868" s="1843">
        <v>10</v>
      </c>
      <c r="J868" s="1843">
        <v>5300000</v>
      </c>
      <c r="K868" s="1843">
        <f t="shared" si="55"/>
        <v>53000000</v>
      </c>
      <c r="L868" s="1843">
        <f t="shared" si="53"/>
        <v>204000</v>
      </c>
      <c r="M868" s="1892" t="s">
        <v>4092</v>
      </c>
      <c r="N868" s="1658" t="s">
        <v>4063</v>
      </c>
    </row>
    <row r="869" spans="1:14">
      <c r="A869" s="1488">
        <v>743</v>
      </c>
      <c r="B869" s="1707">
        <v>17</v>
      </c>
      <c r="C869" s="1893" t="s">
        <v>4095</v>
      </c>
      <c r="D869" s="1890" t="s">
        <v>4096</v>
      </c>
      <c r="E869" s="1891" t="s">
        <v>435</v>
      </c>
      <c r="F869" s="1843">
        <v>10</v>
      </c>
      <c r="G869" s="1843">
        <v>2940000</v>
      </c>
      <c r="H869" s="1843">
        <f t="shared" si="54"/>
        <v>29400000</v>
      </c>
      <c r="I869" s="1843">
        <v>10</v>
      </c>
      <c r="J869" s="1843">
        <v>3000000</v>
      </c>
      <c r="K869" s="1843">
        <f t="shared" si="55"/>
        <v>30000000</v>
      </c>
      <c r="L869" s="1843">
        <f t="shared" si="53"/>
        <v>60000</v>
      </c>
      <c r="M869" s="1892" t="s">
        <v>4092</v>
      </c>
      <c r="N869" s="1658" t="s">
        <v>4063</v>
      </c>
    </row>
    <row r="870" spans="1:14">
      <c r="A870" s="1488">
        <v>744</v>
      </c>
      <c r="B870" s="1707">
        <v>18</v>
      </c>
      <c r="C870" s="1895" t="s">
        <v>4097</v>
      </c>
      <c r="D870" s="1890" t="s">
        <v>4098</v>
      </c>
      <c r="E870" s="1891" t="s">
        <v>4099</v>
      </c>
      <c r="F870" s="1843">
        <v>10</v>
      </c>
      <c r="G870" s="1843">
        <v>34300000</v>
      </c>
      <c r="H870" s="1843">
        <f t="shared" si="54"/>
        <v>343000000</v>
      </c>
      <c r="I870" s="1843">
        <v>10</v>
      </c>
      <c r="J870" s="1843">
        <v>35000000</v>
      </c>
      <c r="K870" s="1843">
        <f t="shared" si="55"/>
        <v>350000000</v>
      </c>
      <c r="L870" s="1843">
        <f t="shared" si="53"/>
        <v>700000</v>
      </c>
      <c r="M870" s="1892" t="s">
        <v>4100</v>
      </c>
      <c r="N870" s="1658" t="s">
        <v>4063</v>
      </c>
    </row>
    <row r="871" spans="1:14">
      <c r="A871" s="1488">
        <v>745</v>
      </c>
      <c r="B871" s="1707">
        <v>19</v>
      </c>
      <c r="C871" s="1895" t="s">
        <v>4101</v>
      </c>
      <c r="D871" s="1890" t="s">
        <v>4102</v>
      </c>
      <c r="E871" s="1891" t="s">
        <v>4099</v>
      </c>
      <c r="F871" s="1843">
        <v>10</v>
      </c>
      <c r="G871" s="1843">
        <v>27440000</v>
      </c>
      <c r="H871" s="1843">
        <f t="shared" si="54"/>
        <v>274400000</v>
      </c>
      <c r="I871" s="1843">
        <v>10</v>
      </c>
      <c r="J871" s="1843">
        <v>28000000</v>
      </c>
      <c r="K871" s="1843">
        <f t="shared" si="55"/>
        <v>280000000</v>
      </c>
      <c r="L871" s="1843">
        <f t="shared" si="53"/>
        <v>560000</v>
      </c>
      <c r="M871" s="1892" t="s">
        <v>4100</v>
      </c>
      <c r="N871" s="1658" t="s">
        <v>4063</v>
      </c>
    </row>
    <row r="872" spans="1:14">
      <c r="A872" s="1488">
        <v>746</v>
      </c>
      <c r="B872" s="1707">
        <v>20</v>
      </c>
      <c r="C872" s="1895" t="s">
        <v>4103</v>
      </c>
      <c r="D872" s="1890" t="s">
        <v>4104</v>
      </c>
      <c r="E872" s="1891" t="s">
        <v>3498</v>
      </c>
      <c r="F872" s="1843">
        <v>10</v>
      </c>
      <c r="G872" s="1843">
        <v>5292000</v>
      </c>
      <c r="H872" s="1843">
        <f t="shared" si="54"/>
        <v>52920000</v>
      </c>
      <c r="I872" s="1843">
        <v>10</v>
      </c>
      <c r="J872" s="1843">
        <v>5400000</v>
      </c>
      <c r="K872" s="1843">
        <f t="shared" si="55"/>
        <v>54000000</v>
      </c>
      <c r="L872" s="1843">
        <f t="shared" si="53"/>
        <v>108000</v>
      </c>
      <c r="M872" s="1892" t="s">
        <v>4100</v>
      </c>
      <c r="N872" s="1658" t="s">
        <v>4063</v>
      </c>
    </row>
    <row r="873" spans="1:14">
      <c r="A873" s="1488">
        <v>747</v>
      </c>
      <c r="B873" s="1707">
        <v>21</v>
      </c>
      <c r="C873" s="1895" t="s">
        <v>4105</v>
      </c>
      <c r="D873" s="1890" t="s">
        <v>4104</v>
      </c>
      <c r="E873" s="1891" t="s">
        <v>4106</v>
      </c>
      <c r="F873" s="1843">
        <v>10</v>
      </c>
      <c r="G873" s="1843">
        <v>9408000</v>
      </c>
      <c r="H873" s="1843">
        <f t="shared" si="54"/>
        <v>94080000</v>
      </c>
      <c r="I873" s="1843">
        <v>10</v>
      </c>
      <c r="J873" s="1843">
        <v>9600000</v>
      </c>
      <c r="K873" s="1843">
        <f t="shared" si="55"/>
        <v>96000000</v>
      </c>
      <c r="L873" s="1843">
        <f t="shared" si="53"/>
        <v>192000</v>
      </c>
      <c r="M873" s="1892" t="s">
        <v>4100</v>
      </c>
      <c r="N873" s="1658" t="s">
        <v>4063</v>
      </c>
    </row>
    <row r="874" spans="1:14" ht="18">
      <c r="A874" s="1488">
        <v>748</v>
      </c>
      <c r="B874" s="1707">
        <v>22</v>
      </c>
      <c r="C874" s="1895" t="s">
        <v>4107</v>
      </c>
      <c r="D874" s="1890" t="s">
        <v>4108</v>
      </c>
      <c r="E874" s="1891" t="s">
        <v>470</v>
      </c>
      <c r="F874" s="1843">
        <v>3</v>
      </c>
      <c r="G874" s="1843">
        <v>9408000</v>
      </c>
      <c r="H874" s="1843">
        <f t="shared" si="54"/>
        <v>28224000</v>
      </c>
      <c r="I874" s="1843">
        <v>3</v>
      </c>
      <c r="J874" s="1843">
        <v>9600000</v>
      </c>
      <c r="K874" s="1843">
        <f t="shared" si="55"/>
        <v>28800000</v>
      </c>
      <c r="L874" s="1843">
        <f t="shared" si="53"/>
        <v>192000</v>
      </c>
      <c r="M874" s="1892" t="s">
        <v>4100</v>
      </c>
      <c r="N874" s="1658" t="s">
        <v>4063</v>
      </c>
    </row>
    <row r="875" spans="1:14">
      <c r="A875" s="1488">
        <v>749</v>
      </c>
      <c r="B875" s="1707">
        <v>23</v>
      </c>
      <c r="C875" s="1895" t="s">
        <v>4109</v>
      </c>
      <c r="D875" s="1890" t="s">
        <v>4110</v>
      </c>
      <c r="E875" s="1891" t="s">
        <v>3439</v>
      </c>
      <c r="F875" s="1843">
        <v>2</v>
      </c>
      <c r="G875" s="1843">
        <v>6370000</v>
      </c>
      <c r="H875" s="1843">
        <f t="shared" si="54"/>
        <v>12740000</v>
      </c>
      <c r="I875" s="1843">
        <v>2</v>
      </c>
      <c r="J875" s="1843">
        <v>6500000</v>
      </c>
      <c r="K875" s="1843">
        <f t="shared" si="55"/>
        <v>13000000</v>
      </c>
      <c r="L875" s="1843">
        <f t="shared" si="53"/>
        <v>130000</v>
      </c>
      <c r="M875" s="1892" t="s">
        <v>4100</v>
      </c>
      <c r="N875" s="1658" t="s">
        <v>4063</v>
      </c>
    </row>
    <row r="876" spans="1:14">
      <c r="A876" s="1488">
        <v>750</v>
      </c>
      <c r="B876" s="1707">
        <v>24</v>
      </c>
      <c r="C876" s="1895" t="s">
        <v>4111</v>
      </c>
      <c r="D876" s="1890" t="s">
        <v>4112</v>
      </c>
      <c r="E876" s="1891" t="s">
        <v>3439</v>
      </c>
      <c r="F876" s="1843">
        <v>30</v>
      </c>
      <c r="G876" s="1843">
        <v>2450000</v>
      </c>
      <c r="H876" s="1843">
        <f t="shared" si="54"/>
        <v>73500000</v>
      </c>
      <c r="I876" s="1843">
        <v>30</v>
      </c>
      <c r="J876" s="1843">
        <v>2500000</v>
      </c>
      <c r="K876" s="1843">
        <f t="shared" si="55"/>
        <v>75000000</v>
      </c>
      <c r="L876" s="1843">
        <f t="shared" si="53"/>
        <v>50000</v>
      </c>
      <c r="M876" s="1892" t="s">
        <v>4100</v>
      </c>
      <c r="N876" s="1658" t="s">
        <v>4063</v>
      </c>
    </row>
    <row r="877" spans="1:14">
      <c r="A877" s="1488">
        <v>751</v>
      </c>
      <c r="B877" s="1707">
        <v>25</v>
      </c>
      <c r="C877" s="1895" t="s">
        <v>4113</v>
      </c>
      <c r="D877" s="1890" t="s">
        <v>645</v>
      </c>
      <c r="E877" s="1891" t="s">
        <v>209</v>
      </c>
      <c r="F877" s="1843">
        <v>5</v>
      </c>
      <c r="G877" s="1843">
        <v>196000</v>
      </c>
      <c r="H877" s="1843">
        <f t="shared" si="54"/>
        <v>980000</v>
      </c>
      <c r="I877" s="1843">
        <v>5</v>
      </c>
      <c r="J877" s="1843">
        <v>200000</v>
      </c>
      <c r="K877" s="1843">
        <f t="shared" si="55"/>
        <v>1000000</v>
      </c>
      <c r="L877" s="1843">
        <f t="shared" si="53"/>
        <v>4000</v>
      </c>
      <c r="M877" s="1892" t="s">
        <v>4100</v>
      </c>
      <c r="N877" s="1658" t="s">
        <v>4063</v>
      </c>
    </row>
    <row r="878" spans="1:14">
      <c r="A878" s="1488">
        <v>752</v>
      </c>
      <c r="B878" s="1707">
        <v>26</v>
      </c>
      <c r="C878" s="1895" t="s">
        <v>4114</v>
      </c>
      <c r="D878" s="1890" t="s">
        <v>4104</v>
      </c>
      <c r="E878" s="1891" t="s">
        <v>4106</v>
      </c>
      <c r="F878" s="1843">
        <v>10</v>
      </c>
      <c r="G878" s="1843">
        <v>3430000</v>
      </c>
      <c r="H878" s="1843">
        <f t="shared" si="54"/>
        <v>34300000</v>
      </c>
      <c r="I878" s="1843">
        <v>10</v>
      </c>
      <c r="J878" s="1843">
        <v>3500000</v>
      </c>
      <c r="K878" s="1843">
        <f t="shared" si="55"/>
        <v>35000000</v>
      </c>
      <c r="L878" s="1843">
        <f t="shared" si="53"/>
        <v>70000</v>
      </c>
      <c r="M878" s="1892" t="s">
        <v>4100</v>
      </c>
      <c r="N878" s="1658" t="s">
        <v>4063</v>
      </c>
    </row>
    <row r="879" spans="1:14" ht="18">
      <c r="A879" s="1488">
        <v>753</v>
      </c>
      <c r="B879" s="1707">
        <v>27</v>
      </c>
      <c r="C879" s="1895" t="s">
        <v>4115</v>
      </c>
      <c r="D879" s="1890" t="s">
        <v>4104</v>
      </c>
      <c r="E879" s="1891" t="s">
        <v>4106</v>
      </c>
      <c r="F879" s="1843">
        <v>5</v>
      </c>
      <c r="G879" s="1843">
        <v>5292000</v>
      </c>
      <c r="H879" s="1843">
        <f t="shared" si="54"/>
        <v>26460000</v>
      </c>
      <c r="I879" s="1843">
        <v>5</v>
      </c>
      <c r="J879" s="1843">
        <v>5400000</v>
      </c>
      <c r="K879" s="1843">
        <f t="shared" si="55"/>
        <v>27000000</v>
      </c>
      <c r="L879" s="1843">
        <f t="shared" si="53"/>
        <v>108000</v>
      </c>
      <c r="M879" s="1892" t="s">
        <v>4100</v>
      </c>
      <c r="N879" s="1658" t="s">
        <v>4063</v>
      </c>
    </row>
    <row r="880" spans="1:14" ht="18">
      <c r="A880" s="1488">
        <v>754</v>
      </c>
      <c r="B880" s="1707">
        <v>28</v>
      </c>
      <c r="C880" s="1895" t="s">
        <v>4116</v>
      </c>
      <c r="D880" s="1890" t="s">
        <v>4117</v>
      </c>
      <c r="E880" s="1891" t="s">
        <v>4106</v>
      </c>
      <c r="F880" s="1843">
        <v>5</v>
      </c>
      <c r="G880" s="1843">
        <v>11760000</v>
      </c>
      <c r="H880" s="1843">
        <f t="shared" si="54"/>
        <v>58800000</v>
      </c>
      <c r="I880" s="1843">
        <v>5</v>
      </c>
      <c r="J880" s="1843">
        <v>12000000</v>
      </c>
      <c r="K880" s="1843">
        <f t="shared" si="55"/>
        <v>60000000</v>
      </c>
      <c r="L880" s="1843">
        <f t="shared" si="53"/>
        <v>240000</v>
      </c>
      <c r="M880" s="1892" t="s">
        <v>4100</v>
      </c>
      <c r="N880" s="1658" t="s">
        <v>4063</v>
      </c>
    </row>
    <row r="881" spans="1:14">
      <c r="A881" s="1488">
        <v>755</v>
      </c>
      <c r="B881" s="1707">
        <v>29</v>
      </c>
      <c r="C881" s="1895" t="s">
        <v>4118</v>
      </c>
      <c r="D881" s="1890" t="s">
        <v>4119</v>
      </c>
      <c r="E881" s="1891" t="s">
        <v>4099</v>
      </c>
      <c r="F881" s="1843">
        <v>10</v>
      </c>
      <c r="G881" s="1843">
        <v>5292000</v>
      </c>
      <c r="H881" s="1843">
        <f t="shared" si="54"/>
        <v>52920000</v>
      </c>
      <c r="I881" s="1843">
        <v>10</v>
      </c>
      <c r="J881" s="1843">
        <v>5400000</v>
      </c>
      <c r="K881" s="1843">
        <f t="shared" si="55"/>
        <v>54000000</v>
      </c>
      <c r="L881" s="1843">
        <f t="shared" si="53"/>
        <v>108000</v>
      </c>
      <c r="M881" s="1892" t="s">
        <v>4120</v>
      </c>
      <c r="N881" s="1658" t="s">
        <v>4063</v>
      </c>
    </row>
    <row r="882" spans="1:14">
      <c r="A882" s="1488">
        <v>756</v>
      </c>
      <c r="B882" s="1707">
        <v>30</v>
      </c>
      <c r="C882" s="1895" t="s">
        <v>4121</v>
      </c>
      <c r="D882" s="1890" t="s">
        <v>4119</v>
      </c>
      <c r="E882" s="1891" t="s">
        <v>4099</v>
      </c>
      <c r="F882" s="1843">
        <v>1</v>
      </c>
      <c r="G882" s="1843">
        <v>16170000</v>
      </c>
      <c r="H882" s="1843">
        <f t="shared" si="54"/>
        <v>16170000</v>
      </c>
      <c r="I882" s="1843">
        <v>1</v>
      </c>
      <c r="J882" s="1843">
        <v>16500000</v>
      </c>
      <c r="K882" s="1843">
        <f t="shared" si="55"/>
        <v>16500000</v>
      </c>
      <c r="L882" s="1843">
        <f t="shared" si="53"/>
        <v>330000</v>
      </c>
      <c r="M882" s="1892" t="s">
        <v>4100</v>
      </c>
      <c r="N882" s="1658" t="s">
        <v>4063</v>
      </c>
    </row>
    <row r="883" spans="1:14">
      <c r="A883" s="1488">
        <v>757</v>
      </c>
      <c r="B883" s="1707">
        <v>31</v>
      </c>
      <c r="C883" s="1895" t="s">
        <v>4122</v>
      </c>
      <c r="D883" s="1890" t="s">
        <v>1098</v>
      </c>
      <c r="E883" s="1891" t="s">
        <v>3073</v>
      </c>
      <c r="F883" s="1843">
        <v>20</v>
      </c>
      <c r="G883" s="1843">
        <v>846720</v>
      </c>
      <c r="H883" s="1843">
        <f t="shared" si="54"/>
        <v>16934400</v>
      </c>
      <c r="I883" s="1843">
        <v>20</v>
      </c>
      <c r="J883" s="1843">
        <v>864000</v>
      </c>
      <c r="K883" s="1843">
        <f t="shared" si="55"/>
        <v>17280000</v>
      </c>
      <c r="L883" s="1843">
        <f t="shared" si="53"/>
        <v>17280</v>
      </c>
      <c r="M883" s="1892" t="s">
        <v>4092</v>
      </c>
      <c r="N883" s="1658" t="s">
        <v>4063</v>
      </c>
    </row>
    <row r="884" spans="1:14">
      <c r="A884" s="1488">
        <v>758</v>
      </c>
      <c r="B884" s="1707">
        <v>32</v>
      </c>
      <c r="C884" s="1895" t="s">
        <v>4123</v>
      </c>
      <c r="D884" s="1890" t="s">
        <v>4124</v>
      </c>
      <c r="E884" s="1891" t="s">
        <v>4099</v>
      </c>
      <c r="F884" s="1843">
        <v>1</v>
      </c>
      <c r="G884" s="1843">
        <v>8330000</v>
      </c>
      <c r="H884" s="1843">
        <f t="shared" si="54"/>
        <v>8330000</v>
      </c>
      <c r="I884" s="1843">
        <v>1</v>
      </c>
      <c r="J884" s="1843">
        <v>8500000</v>
      </c>
      <c r="K884" s="1843">
        <f t="shared" si="55"/>
        <v>8500000</v>
      </c>
      <c r="L884" s="1843">
        <f t="shared" si="53"/>
        <v>170000</v>
      </c>
      <c r="M884" s="1892" t="s">
        <v>4100</v>
      </c>
      <c r="N884" s="1658" t="s">
        <v>4063</v>
      </c>
    </row>
    <row r="885" spans="1:14">
      <c r="A885" s="1488">
        <v>759</v>
      </c>
      <c r="B885" s="1707">
        <v>33</v>
      </c>
      <c r="C885" s="1895" t="s">
        <v>4125</v>
      </c>
      <c r="D885" s="1890" t="s">
        <v>4124</v>
      </c>
      <c r="E885" s="1891" t="s">
        <v>4099</v>
      </c>
      <c r="F885" s="1843">
        <v>1</v>
      </c>
      <c r="G885" s="1843">
        <v>8330000</v>
      </c>
      <c r="H885" s="1843">
        <f t="shared" si="54"/>
        <v>8330000</v>
      </c>
      <c r="I885" s="1843">
        <v>1</v>
      </c>
      <c r="J885" s="1843">
        <v>8500000</v>
      </c>
      <c r="K885" s="1843">
        <f t="shared" si="55"/>
        <v>8500000</v>
      </c>
      <c r="L885" s="1843">
        <f t="shared" si="53"/>
        <v>170000</v>
      </c>
      <c r="M885" s="1892" t="s">
        <v>4100</v>
      </c>
      <c r="N885" s="1658" t="s">
        <v>4063</v>
      </c>
    </row>
    <row r="886" spans="1:14">
      <c r="A886" s="1488">
        <v>760</v>
      </c>
      <c r="B886" s="1707">
        <v>34</v>
      </c>
      <c r="C886" s="1895" t="s">
        <v>4126</v>
      </c>
      <c r="D886" s="1890" t="s">
        <v>4124</v>
      </c>
      <c r="E886" s="1891" t="s">
        <v>4099</v>
      </c>
      <c r="F886" s="1843">
        <v>1</v>
      </c>
      <c r="G886" s="1843">
        <v>8330000</v>
      </c>
      <c r="H886" s="1843">
        <f t="shared" si="54"/>
        <v>8330000</v>
      </c>
      <c r="I886" s="1843">
        <v>1</v>
      </c>
      <c r="J886" s="1843">
        <v>8500000</v>
      </c>
      <c r="K886" s="1843">
        <f t="shared" si="55"/>
        <v>8500000</v>
      </c>
      <c r="L886" s="1843">
        <f t="shared" si="53"/>
        <v>170000</v>
      </c>
      <c r="M886" s="1892" t="s">
        <v>4100</v>
      </c>
      <c r="N886" s="1658" t="s">
        <v>4063</v>
      </c>
    </row>
    <row r="887" spans="1:14">
      <c r="A887" s="1488">
        <v>761</v>
      </c>
      <c r="B887" s="1707">
        <v>35</v>
      </c>
      <c r="C887" s="1895" t="s">
        <v>4127</v>
      </c>
      <c r="D887" s="1890" t="s">
        <v>4124</v>
      </c>
      <c r="E887" s="1891" t="s">
        <v>4099</v>
      </c>
      <c r="F887" s="1843">
        <v>1</v>
      </c>
      <c r="G887" s="1843">
        <v>8330000</v>
      </c>
      <c r="H887" s="1843">
        <f t="shared" si="54"/>
        <v>8330000</v>
      </c>
      <c r="I887" s="1843">
        <v>1</v>
      </c>
      <c r="J887" s="1843">
        <v>8500000</v>
      </c>
      <c r="K887" s="1843">
        <f t="shared" si="55"/>
        <v>8500000</v>
      </c>
      <c r="L887" s="1843">
        <f t="shared" si="53"/>
        <v>170000</v>
      </c>
      <c r="M887" s="1892" t="s">
        <v>4100</v>
      </c>
      <c r="N887" s="1658" t="s">
        <v>4063</v>
      </c>
    </row>
    <row r="888" spans="1:14">
      <c r="A888" s="1488">
        <v>762</v>
      </c>
      <c r="B888" s="1707">
        <v>36</v>
      </c>
      <c r="C888" s="1895" t="s">
        <v>4128</v>
      </c>
      <c r="D888" s="1890" t="s">
        <v>4124</v>
      </c>
      <c r="E888" s="1891" t="s">
        <v>4099</v>
      </c>
      <c r="F888" s="1843">
        <v>1</v>
      </c>
      <c r="G888" s="1843">
        <v>8330000</v>
      </c>
      <c r="H888" s="1843">
        <f t="shared" si="54"/>
        <v>8330000</v>
      </c>
      <c r="I888" s="1843">
        <v>1</v>
      </c>
      <c r="J888" s="1843">
        <v>8500000</v>
      </c>
      <c r="K888" s="1843">
        <f t="shared" si="55"/>
        <v>8500000</v>
      </c>
      <c r="L888" s="1843">
        <f t="shared" si="53"/>
        <v>170000</v>
      </c>
      <c r="M888" s="1892" t="s">
        <v>4100</v>
      </c>
      <c r="N888" s="1658" t="s">
        <v>4063</v>
      </c>
    </row>
    <row r="889" spans="1:14">
      <c r="A889" s="1488">
        <v>763</v>
      </c>
      <c r="B889" s="1707">
        <v>37</v>
      </c>
      <c r="C889" s="1895" t="s">
        <v>4129</v>
      </c>
      <c r="D889" s="1890" t="s">
        <v>4124</v>
      </c>
      <c r="E889" s="1891" t="s">
        <v>4099</v>
      </c>
      <c r="F889" s="1843">
        <v>1</v>
      </c>
      <c r="G889" s="1843">
        <v>8330000</v>
      </c>
      <c r="H889" s="1843">
        <f t="shared" si="54"/>
        <v>8330000</v>
      </c>
      <c r="I889" s="1843">
        <v>1</v>
      </c>
      <c r="J889" s="1843">
        <v>8500000</v>
      </c>
      <c r="K889" s="1843">
        <f t="shared" si="55"/>
        <v>8500000</v>
      </c>
      <c r="L889" s="1843">
        <f t="shared" si="53"/>
        <v>170000</v>
      </c>
      <c r="M889" s="1892" t="s">
        <v>4100</v>
      </c>
      <c r="N889" s="1658" t="s">
        <v>4063</v>
      </c>
    </row>
    <row r="890" spans="1:14">
      <c r="A890" s="1488">
        <v>764</v>
      </c>
      <c r="B890" s="1707">
        <v>38</v>
      </c>
      <c r="C890" s="1895" t="s">
        <v>4130</v>
      </c>
      <c r="D890" s="1890" t="s">
        <v>4124</v>
      </c>
      <c r="E890" s="1891" t="s">
        <v>4099</v>
      </c>
      <c r="F890" s="1843">
        <v>1</v>
      </c>
      <c r="G890" s="1843">
        <v>8330000</v>
      </c>
      <c r="H890" s="1843">
        <f t="shared" si="54"/>
        <v>8330000</v>
      </c>
      <c r="I890" s="1843">
        <v>1</v>
      </c>
      <c r="J890" s="1843">
        <v>8500000</v>
      </c>
      <c r="K890" s="1843">
        <f t="shared" si="55"/>
        <v>8500000</v>
      </c>
      <c r="L890" s="1843">
        <f t="shared" si="53"/>
        <v>170000</v>
      </c>
      <c r="M890" s="1892" t="s">
        <v>4100</v>
      </c>
      <c r="N890" s="1658" t="s">
        <v>4063</v>
      </c>
    </row>
    <row r="891" spans="1:14">
      <c r="A891" s="1488">
        <v>765</v>
      </c>
      <c r="B891" s="1707">
        <v>39</v>
      </c>
      <c r="C891" s="1895" t="s">
        <v>4131</v>
      </c>
      <c r="D891" s="1890" t="s">
        <v>4124</v>
      </c>
      <c r="E891" s="1891" t="s">
        <v>4099</v>
      </c>
      <c r="F891" s="1843">
        <v>1</v>
      </c>
      <c r="G891" s="1843">
        <v>8330000</v>
      </c>
      <c r="H891" s="1843">
        <f t="shared" si="54"/>
        <v>8330000</v>
      </c>
      <c r="I891" s="1843">
        <v>1</v>
      </c>
      <c r="J891" s="1843">
        <v>8500000</v>
      </c>
      <c r="K891" s="1843">
        <f t="shared" si="55"/>
        <v>8500000</v>
      </c>
      <c r="L891" s="1843">
        <f t="shared" si="53"/>
        <v>170000</v>
      </c>
      <c r="M891" s="1892" t="s">
        <v>4100</v>
      </c>
      <c r="N891" s="1658" t="s">
        <v>4063</v>
      </c>
    </row>
    <row r="892" spans="1:14">
      <c r="A892" s="1488">
        <v>766</v>
      </c>
      <c r="B892" s="1707">
        <v>40</v>
      </c>
      <c r="C892" s="1895" t="s">
        <v>4132</v>
      </c>
      <c r="D892" s="1890" t="s">
        <v>4124</v>
      </c>
      <c r="E892" s="1891" t="s">
        <v>4099</v>
      </c>
      <c r="F892" s="1843">
        <v>1</v>
      </c>
      <c r="G892" s="1843">
        <v>8330000</v>
      </c>
      <c r="H892" s="1843">
        <f t="shared" si="54"/>
        <v>8330000</v>
      </c>
      <c r="I892" s="1843">
        <v>1</v>
      </c>
      <c r="J892" s="1843">
        <v>8500000</v>
      </c>
      <c r="K892" s="1843">
        <f t="shared" si="55"/>
        <v>8500000</v>
      </c>
      <c r="L892" s="1843">
        <f t="shared" si="53"/>
        <v>170000</v>
      </c>
      <c r="M892" s="1892" t="s">
        <v>4100</v>
      </c>
      <c r="N892" s="1658" t="s">
        <v>4063</v>
      </c>
    </row>
    <row r="893" spans="1:14">
      <c r="A893" s="1488">
        <v>767</v>
      </c>
      <c r="B893" s="1707">
        <v>41</v>
      </c>
      <c r="C893" s="1895" t="s">
        <v>4133</v>
      </c>
      <c r="D893" s="1890" t="s">
        <v>4124</v>
      </c>
      <c r="E893" s="1891" t="s">
        <v>4099</v>
      </c>
      <c r="F893" s="1843">
        <v>1</v>
      </c>
      <c r="G893" s="1843">
        <v>8330000</v>
      </c>
      <c r="H893" s="1843">
        <f t="shared" si="54"/>
        <v>8330000</v>
      </c>
      <c r="I893" s="1843">
        <v>1</v>
      </c>
      <c r="J893" s="1843">
        <v>8500000</v>
      </c>
      <c r="K893" s="1843">
        <f t="shared" si="55"/>
        <v>8500000</v>
      </c>
      <c r="L893" s="1843">
        <f t="shared" si="53"/>
        <v>170000</v>
      </c>
      <c r="M893" s="1892" t="s">
        <v>4100</v>
      </c>
      <c r="N893" s="1658" t="s">
        <v>4063</v>
      </c>
    </row>
    <row r="894" spans="1:14">
      <c r="A894" s="1488">
        <v>768</v>
      </c>
      <c r="B894" s="1707">
        <v>42</v>
      </c>
      <c r="C894" s="1895" t="s">
        <v>4134</v>
      </c>
      <c r="D894" s="1890" t="s">
        <v>4124</v>
      </c>
      <c r="E894" s="1891" t="s">
        <v>4099</v>
      </c>
      <c r="F894" s="1843">
        <v>1</v>
      </c>
      <c r="G894" s="1843">
        <v>8330000</v>
      </c>
      <c r="H894" s="1843">
        <f t="shared" si="54"/>
        <v>8330000</v>
      </c>
      <c r="I894" s="1843">
        <v>1</v>
      </c>
      <c r="J894" s="1843">
        <v>8500000</v>
      </c>
      <c r="K894" s="1843">
        <f t="shared" si="55"/>
        <v>8500000</v>
      </c>
      <c r="L894" s="1843">
        <f t="shared" si="53"/>
        <v>170000</v>
      </c>
      <c r="M894" s="1892" t="s">
        <v>4100</v>
      </c>
      <c r="N894" s="1658" t="s">
        <v>4063</v>
      </c>
    </row>
    <row r="895" spans="1:14">
      <c r="A895" s="1488">
        <v>769</v>
      </c>
      <c r="B895" s="1707">
        <v>43</v>
      </c>
      <c r="C895" s="1895" t="s">
        <v>4135</v>
      </c>
      <c r="D895" s="1890" t="s">
        <v>4124</v>
      </c>
      <c r="E895" s="1891" t="s">
        <v>4099</v>
      </c>
      <c r="F895" s="1843">
        <v>1</v>
      </c>
      <c r="G895" s="1843">
        <v>8330000</v>
      </c>
      <c r="H895" s="1843">
        <f t="shared" si="54"/>
        <v>8330000</v>
      </c>
      <c r="I895" s="1843">
        <v>1</v>
      </c>
      <c r="J895" s="1843">
        <v>8500000</v>
      </c>
      <c r="K895" s="1843">
        <f t="shared" si="55"/>
        <v>8500000</v>
      </c>
      <c r="L895" s="1843">
        <f t="shared" si="53"/>
        <v>170000</v>
      </c>
      <c r="M895" s="1892" t="s">
        <v>4100</v>
      </c>
      <c r="N895" s="1658" t="s">
        <v>4063</v>
      </c>
    </row>
    <row r="896" spans="1:14">
      <c r="A896" s="1488">
        <v>770</v>
      </c>
      <c r="B896" s="1707">
        <v>44</v>
      </c>
      <c r="C896" s="1895" t="s">
        <v>4136</v>
      </c>
      <c r="D896" s="1890" t="s">
        <v>4124</v>
      </c>
      <c r="E896" s="1891" t="s">
        <v>4099</v>
      </c>
      <c r="F896" s="1843">
        <v>1</v>
      </c>
      <c r="G896" s="1843">
        <v>8330000</v>
      </c>
      <c r="H896" s="1843">
        <f t="shared" si="54"/>
        <v>8330000</v>
      </c>
      <c r="I896" s="1843">
        <v>1</v>
      </c>
      <c r="J896" s="1843">
        <v>8500000</v>
      </c>
      <c r="K896" s="1843">
        <f t="shared" si="55"/>
        <v>8500000</v>
      </c>
      <c r="L896" s="1843">
        <f t="shared" si="53"/>
        <v>170000</v>
      </c>
      <c r="M896" s="1892" t="s">
        <v>4100</v>
      </c>
      <c r="N896" s="1658" t="s">
        <v>4063</v>
      </c>
    </row>
    <row r="897" spans="1:14">
      <c r="A897" s="1488">
        <v>771</v>
      </c>
      <c r="B897" s="1707">
        <v>45</v>
      </c>
      <c r="C897" s="1895" t="s">
        <v>4137</v>
      </c>
      <c r="D897" s="1890" t="s">
        <v>4124</v>
      </c>
      <c r="E897" s="1891" t="s">
        <v>4099</v>
      </c>
      <c r="F897" s="1843">
        <v>1</v>
      </c>
      <c r="G897" s="1843">
        <v>8330000</v>
      </c>
      <c r="H897" s="1843">
        <f t="shared" si="54"/>
        <v>8330000</v>
      </c>
      <c r="I897" s="1843">
        <v>1</v>
      </c>
      <c r="J897" s="1843">
        <v>8500000</v>
      </c>
      <c r="K897" s="1843">
        <f t="shared" si="55"/>
        <v>8500000</v>
      </c>
      <c r="L897" s="1843">
        <f t="shared" si="53"/>
        <v>170000</v>
      </c>
      <c r="M897" s="1892" t="s">
        <v>4100</v>
      </c>
      <c r="N897" s="1658" t="s">
        <v>4063</v>
      </c>
    </row>
    <row r="898" spans="1:14">
      <c r="A898" s="1488">
        <v>772</v>
      </c>
      <c r="B898" s="1707">
        <v>46</v>
      </c>
      <c r="C898" s="1895" t="s">
        <v>4138</v>
      </c>
      <c r="D898" s="1890" t="s">
        <v>4124</v>
      </c>
      <c r="E898" s="1891" t="s">
        <v>4099</v>
      </c>
      <c r="F898" s="1843">
        <v>1</v>
      </c>
      <c r="G898" s="1843">
        <v>8330000</v>
      </c>
      <c r="H898" s="1843">
        <f t="shared" si="54"/>
        <v>8330000</v>
      </c>
      <c r="I898" s="1843">
        <v>1</v>
      </c>
      <c r="J898" s="1843">
        <v>8500000</v>
      </c>
      <c r="K898" s="1843">
        <f t="shared" si="55"/>
        <v>8500000</v>
      </c>
      <c r="L898" s="1843">
        <f t="shared" si="53"/>
        <v>170000</v>
      </c>
      <c r="M898" s="1892" t="s">
        <v>4100</v>
      </c>
      <c r="N898" s="1658" t="s">
        <v>4063</v>
      </c>
    </row>
    <row r="899" spans="1:14">
      <c r="A899" s="1488">
        <v>773</v>
      </c>
      <c r="B899" s="1707">
        <v>47</v>
      </c>
      <c r="C899" s="1895" t="s">
        <v>4139</v>
      </c>
      <c r="D899" s="1890" t="s">
        <v>4124</v>
      </c>
      <c r="E899" s="1891" t="s">
        <v>4099</v>
      </c>
      <c r="F899" s="1843">
        <v>1</v>
      </c>
      <c r="G899" s="1843">
        <v>8330000</v>
      </c>
      <c r="H899" s="1843">
        <f t="shared" si="54"/>
        <v>8330000</v>
      </c>
      <c r="I899" s="1843">
        <v>1</v>
      </c>
      <c r="J899" s="1843">
        <v>8500000</v>
      </c>
      <c r="K899" s="1843">
        <f t="shared" si="55"/>
        <v>8500000</v>
      </c>
      <c r="L899" s="1843">
        <f t="shared" si="53"/>
        <v>170000</v>
      </c>
      <c r="M899" s="1892" t="s">
        <v>4100</v>
      </c>
      <c r="N899" s="1658" t="s">
        <v>4063</v>
      </c>
    </row>
    <row r="900" spans="1:14">
      <c r="A900" s="1488">
        <v>774</v>
      </c>
      <c r="B900" s="1707">
        <v>48</v>
      </c>
      <c r="C900" s="1895" t="s">
        <v>4140</v>
      </c>
      <c r="D900" s="1890" t="s">
        <v>4124</v>
      </c>
      <c r="E900" s="1891" t="s">
        <v>4099</v>
      </c>
      <c r="F900" s="1843">
        <v>1</v>
      </c>
      <c r="G900" s="1843">
        <v>8330000</v>
      </c>
      <c r="H900" s="1843">
        <f t="shared" si="54"/>
        <v>8330000</v>
      </c>
      <c r="I900" s="1843">
        <v>1</v>
      </c>
      <c r="J900" s="1843">
        <v>8500000</v>
      </c>
      <c r="K900" s="1843">
        <f t="shared" si="55"/>
        <v>8500000</v>
      </c>
      <c r="L900" s="1843">
        <f t="shared" si="53"/>
        <v>170000</v>
      </c>
      <c r="M900" s="1892" t="s">
        <v>4100</v>
      </c>
      <c r="N900" s="1658" t="s">
        <v>4063</v>
      </c>
    </row>
    <row r="901" spans="1:14">
      <c r="A901" s="1488">
        <v>775</v>
      </c>
      <c r="B901" s="1707">
        <v>49</v>
      </c>
      <c r="C901" s="1895" t="s">
        <v>4141</v>
      </c>
      <c r="D901" s="1890" t="s">
        <v>4124</v>
      </c>
      <c r="E901" s="1891" t="s">
        <v>4099</v>
      </c>
      <c r="F901" s="1843">
        <v>1</v>
      </c>
      <c r="G901" s="1843">
        <v>8330000</v>
      </c>
      <c r="H901" s="1843">
        <f t="shared" si="54"/>
        <v>8330000</v>
      </c>
      <c r="I901" s="1843">
        <v>1</v>
      </c>
      <c r="J901" s="1843">
        <v>8500000</v>
      </c>
      <c r="K901" s="1843">
        <f t="shared" si="55"/>
        <v>8500000</v>
      </c>
      <c r="L901" s="1843">
        <f t="shared" si="53"/>
        <v>170000</v>
      </c>
      <c r="M901" s="1892" t="s">
        <v>4100</v>
      </c>
      <c r="N901" s="1658" t="s">
        <v>4063</v>
      </c>
    </row>
    <row r="902" spans="1:14">
      <c r="A902" s="1488">
        <v>776</v>
      </c>
      <c r="B902" s="1707">
        <v>50</v>
      </c>
      <c r="C902" s="1895" t="s">
        <v>4142</v>
      </c>
      <c r="D902" s="1890" t="s">
        <v>4124</v>
      </c>
      <c r="E902" s="1891" t="s">
        <v>4099</v>
      </c>
      <c r="F902" s="1843">
        <v>1</v>
      </c>
      <c r="G902" s="1843">
        <v>8330000</v>
      </c>
      <c r="H902" s="1843">
        <f t="shared" si="54"/>
        <v>8330000</v>
      </c>
      <c r="I902" s="1843">
        <v>1</v>
      </c>
      <c r="J902" s="1843">
        <v>8500000</v>
      </c>
      <c r="K902" s="1843">
        <f t="shared" si="55"/>
        <v>8500000</v>
      </c>
      <c r="L902" s="1843">
        <f t="shared" si="53"/>
        <v>170000</v>
      </c>
      <c r="M902" s="1892" t="s">
        <v>4100</v>
      </c>
      <c r="N902" s="1658" t="s">
        <v>4063</v>
      </c>
    </row>
    <row r="903" spans="1:14">
      <c r="A903" s="1488">
        <v>777</v>
      </c>
      <c r="B903" s="1707">
        <v>51</v>
      </c>
      <c r="C903" s="1895" t="s">
        <v>4143</v>
      </c>
      <c r="D903" s="1890" t="s">
        <v>4124</v>
      </c>
      <c r="E903" s="1891" t="s">
        <v>4099</v>
      </c>
      <c r="F903" s="1843">
        <v>1</v>
      </c>
      <c r="G903" s="1843">
        <v>8330000</v>
      </c>
      <c r="H903" s="1843">
        <f t="shared" si="54"/>
        <v>8330000</v>
      </c>
      <c r="I903" s="1843">
        <v>1</v>
      </c>
      <c r="J903" s="1843">
        <v>8500000</v>
      </c>
      <c r="K903" s="1843">
        <f t="shared" si="55"/>
        <v>8500000</v>
      </c>
      <c r="L903" s="1843">
        <f t="shared" si="53"/>
        <v>170000</v>
      </c>
      <c r="M903" s="1892" t="s">
        <v>4100</v>
      </c>
      <c r="N903" s="1658" t="s">
        <v>4063</v>
      </c>
    </row>
    <row r="904" spans="1:14">
      <c r="A904" s="1488">
        <v>778</v>
      </c>
      <c r="B904" s="1707">
        <v>52</v>
      </c>
      <c r="C904" s="1895" t="s">
        <v>4144</v>
      </c>
      <c r="D904" s="1890" t="s">
        <v>4145</v>
      </c>
      <c r="E904" s="1891" t="s">
        <v>4099</v>
      </c>
      <c r="F904" s="1843">
        <v>1</v>
      </c>
      <c r="G904" s="1843">
        <v>8330000</v>
      </c>
      <c r="H904" s="1843">
        <f t="shared" si="54"/>
        <v>8330000</v>
      </c>
      <c r="I904" s="1843">
        <v>1</v>
      </c>
      <c r="J904" s="1843">
        <v>8500000</v>
      </c>
      <c r="K904" s="1843">
        <f t="shared" si="55"/>
        <v>8500000</v>
      </c>
      <c r="L904" s="1843">
        <f t="shared" si="53"/>
        <v>170000</v>
      </c>
      <c r="M904" s="1892" t="s">
        <v>4100</v>
      </c>
      <c r="N904" s="1658" t="s">
        <v>4063</v>
      </c>
    </row>
    <row r="905" spans="1:14">
      <c r="A905" s="1488">
        <v>779</v>
      </c>
      <c r="B905" s="1707">
        <v>53</v>
      </c>
      <c r="C905" s="1895" t="s">
        <v>4146</v>
      </c>
      <c r="D905" s="1890" t="s">
        <v>4145</v>
      </c>
      <c r="E905" s="1891" t="s">
        <v>4099</v>
      </c>
      <c r="F905" s="1843">
        <v>1</v>
      </c>
      <c r="G905" s="1843">
        <v>8330000</v>
      </c>
      <c r="H905" s="1843">
        <f t="shared" si="54"/>
        <v>8330000</v>
      </c>
      <c r="I905" s="1843">
        <v>1</v>
      </c>
      <c r="J905" s="1843">
        <v>8500000</v>
      </c>
      <c r="K905" s="1843">
        <f t="shared" si="55"/>
        <v>8500000</v>
      </c>
      <c r="L905" s="1843">
        <f t="shared" si="53"/>
        <v>170000</v>
      </c>
      <c r="M905" s="1892" t="s">
        <v>4100</v>
      </c>
      <c r="N905" s="1658" t="s">
        <v>4063</v>
      </c>
    </row>
    <row r="906" spans="1:14">
      <c r="A906" s="1488">
        <v>780</v>
      </c>
      <c r="B906" s="1707">
        <v>54</v>
      </c>
      <c r="C906" s="1895" t="s">
        <v>4147</v>
      </c>
      <c r="D906" s="1890" t="s">
        <v>4145</v>
      </c>
      <c r="E906" s="1891" t="s">
        <v>4099</v>
      </c>
      <c r="F906" s="1843">
        <v>1</v>
      </c>
      <c r="G906" s="1843">
        <v>8330000</v>
      </c>
      <c r="H906" s="1843">
        <f t="shared" si="54"/>
        <v>8330000</v>
      </c>
      <c r="I906" s="1843">
        <v>1</v>
      </c>
      <c r="J906" s="1843">
        <v>8500000</v>
      </c>
      <c r="K906" s="1843">
        <f t="shared" si="55"/>
        <v>8500000</v>
      </c>
      <c r="L906" s="1843">
        <f t="shared" si="53"/>
        <v>170000</v>
      </c>
      <c r="M906" s="1892" t="s">
        <v>4100</v>
      </c>
      <c r="N906" s="1658" t="s">
        <v>4063</v>
      </c>
    </row>
    <row r="907" spans="1:14">
      <c r="A907" s="1488">
        <v>781</v>
      </c>
      <c r="B907" s="1707">
        <v>55</v>
      </c>
      <c r="C907" s="1895" t="s">
        <v>4148</v>
      </c>
      <c r="D907" s="1890" t="s">
        <v>4145</v>
      </c>
      <c r="E907" s="1891" t="s">
        <v>4099</v>
      </c>
      <c r="F907" s="1843">
        <v>1</v>
      </c>
      <c r="G907" s="1843">
        <v>8330000</v>
      </c>
      <c r="H907" s="1843">
        <f t="shared" si="54"/>
        <v>8330000</v>
      </c>
      <c r="I907" s="1843">
        <v>1</v>
      </c>
      <c r="J907" s="1843">
        <v>8500000</v>
      </c>
      <c r="K907" s="1843">
        <f t="shared" si="55"/>
        <v>8500000</v>
      </c>
      <c r="L907" s="1843">
        <f t="shared" si="53"/>
        <v>170000</v>
      </c>
      <c r="M907" s="1892" t="s">
        <v>4100</v>
      </c>
      <c r="N907" s="1658" t="s">
        <v>4063</v>
      </c>
    </row>
    <row r="908" spans="1:14">
      <c r="A908" s="1488">
        <v>782</v>
      </c>
      <c r="B908" s="1707">
        <v>56</v>
      </c>
      <c r="C908" s="1895" t="s">
        <v>4149</v>
      </c>
      <c r="D908" s="1890" t="s">
        <v>4124</v>
      </c>
      <c r="E908" s="1891" t="s">
        <v>4099</v>
      </c>
      <c r="F908" s="1843">
        <v>1</v>
      </c>
      <c r="G908" s="1843">
        <v>8330000</v>
      </c>
      <c r="H908" s="1843">
        <f t="shared" si="54"/>
        <v>8330000</v>
      </c>
      <c r="I908" s="1843">
        <v>1</v>
      </c>
      <c r="J908" s="1843">
        <v>8500000</v>
      </c>
      <c r="K908" s="1843">
        <f t="shared" si="55"/>
        <v>8500000</v>
      </c>
      <c r="L908" s="1843">
        <f t="shared" si="53"/>
        <v>170000</v>
      </c>
      <c r="M908" s="1892" t="s">
        <v>4100</v>
      </c>
      <c r="N908" s="1658" t="s">
        <v>4063</v>
      </c>
    </row>
    <row r="909" spans="1:14">
      <c r="A909" s="1488">
        <v>783</v>
      </c>
      <c r="B909" s="1707">
        <v>57</v>
      </c>
      <c r="C909" s="1895" t="s">
        <v>4150</v>
      </c>
      <c r="D909" s="1890" t="s">
        <v>4124</v>
      </c>
      <c r="E909" s="1891" t="s">
        <v>4099</v>
      </c>
      <c r="F909" s="1843">
        <v>1</v>
      </c>
      <c r="G909" s="1843">
        <v>8330000</v>
      </c>
      <c r="H909" s="1843">
        <f t="shared" si="54"/>
        <v>8330000</v>
      </c>
      <c r="I909" s="1843">
        <v>1</v>
      </c>
      <c r="J909" s="1843">
        <v>8500000</v>
      </c>
      <c r="K909" s="1843">
        <f t="shared" si="55"/>
        <v>8500000</v>
      </c>
      <c r="L909" s="1843">
        <f t="shared" si="53"/>
        <v>170000</v>
      </c>
      <c r="M909" s="1892" t="s">
        <v>4100</v>
      </c>
      <c r="N909" s="1658" t="s">
        <v>4063</v>
      </c>
    </row>
    <row r="910" spans="1:14">
      <c r="A910" s="1488">
        <v>784</v>
      </c>
      <c r="B910" s="1707">
        <v>58</v>
      </c>
      <c r="C910" s="1896" t="s">
        <v>4151</v>
      </c>
      <c r="D910" s="1897" t="s">
        <v>4124</v>
      </c>
      <c r="E910" s="1898" t="s">
        <v>4099</v>
      </c>
      <c r="F910" s="1843">
        <v>1</v>
      </c>
      <c r="G910" s="1843">
        <v>8330000</v>
      </c>
      <c r="H910" s="1843">
        <f t="shared" si="54"/>
        <v>8330000</v>
      </c>
      <c r="I910" s="1843">
        <v>1</v>
      </c>
      <c r="J910" s="1843">
        <v>8500000</v>
      </c>
      <c r="K910" s="1843">
        <f t="shared" si="55"/>
        <v>8500000</v>
      </c>
      <c r="L910" s="1843">
        <f t="shared" si="53"/>
        <v>170000</v>
      </c>
      <c r="M910" s="1892" t="s">
        <v>4100</v>
      </c>
      <c r="N910" s="1658" t="s">
        <v>4063</v>
      </c>
    </row>
    <row r="911" spans="1:14">
      <c r="A911" s="1488">
        <v>785</v>
      </c>
      <c r="B911" s="1707">
        <v>59</v>
      </c>
      <c r="C911" s="1895" t="s">
        <v>4152</v>
      </c>
      <c r="D911" s="1890" t="s">
        <v>4153</v>
      </c>
      <c r="E911" s="1891" t="s">
        <v>4154</v>
      </c>
      <c r="F911" s="1843">
        <v>100</v>
      </c>
      <c r="G911" s="1843">
        <v>34300</v>
      </c>
      <c r="H911" s="1843">
        <f t="shared" si="54"/>
        <v>3430000</v>
      </c>
      <c r="I911" s="1843">
        <v>100</v>
      </c>
      <c r="J911" s="1843">
        <v>35000</v>
      </c>
      <c r="K911" s="1843">
        <f t="shared" si="55"/>
        <v>3500000</v>
      </c>
      <c r="L911" s="1843">
        <f t="shared" si="53"/>
        <v>700</v>
      </c>
      <c r="M911" s="1892" t="s">
        <v>4073</v>
      </c>
      <c r="N911" s="1658" t="s">
        <v>4063</v>
      </c>
    </row>
    <row r="912" spans="1:14">
      <c r="A912" s="1488">
        <v>786</v>
      </c>
      <c r="B912" s="1707">
        <v>60</v>
      </c>
      <c r="C912" s="1895" t="s">
        <v>4155</v>
      </c>
      <c r="D912" s="1890" t="s">
        <v>4156</v>
      </c>
      <c r="E912" s="1891" t="s">
        <v>4157</v>
      </c>
      <c r="F912" s="1843">
        <v>500</v>
      </c>
      <c r="G912" s="1843">
        <v>5488</v>
      </c>
      <c r="H912" s="1843">
        <f t="shared" si="54"/>
        <v>2744000</v>
      </c>
      <c r="I912" s="1843">
        <v>500</v>
      </c>
      <c r="J912" s="1843">
        <v>5600</v>
      </c>
      <c r="K912" s="1843">
        <f t="shared" si="55"/>
        <v>2800000</v>
      </c>
      <c r="L912" s="1843">
        <f t="shared" si="53"/>
        <v>112</v>
      </c>
      <c r="M912" s="1892" t="s">
        <v>4158</v>
      </c>
      <c r="N912" s="1658" t="s">
        <v>4063</v>
      </c>
    </row>
    <row r="913" spans="1:14">
      <c r="A913" s="1488">
        <v>787</v>
      </c>
      <c r="B913" s="1707">
        <v>61</v>
      </c>
      <c r="C913" s="1895" t="s">
        <v>4159</v>
      </c>
      <c r="D913" s="1890" t="s">
        <v>4156</v>
      </c>
      <c r="E913" s="1891" t="s">
        <v>4157</v>
      </c>
      <c r="F913" s="1843">
        <v>500</v>
      </c>
      <c r="G913" s="1843">
        <v>6860</v>
      </c>
      <c r="H913" s="1843">
        <f t="shared" si="54"/>
        <v>3430000</v>
      </c>
      <c r="I913" s="1843">
        <v>500</v>
      </c>
      <c r="J913" s="1843">
        <v>7000</v>
      </c>
      <c r="K913" s="1843">
        <f t="shared" si="55"/>
        <v>3500000</v>
      </c>
      <c r="L913" s="1843">
        <f t="shared" si="53"/>
        <v>140</v>
      </c>
      <c r="M913" s="1892" t="s">
        <v>4073</v>
      </c>
      <c r="N913" s="1658" t="s">
        <v>4063</v>
      </c>
    </row>
    <row r="914" spans="1:14">
      <c r="A914" s="1488">
        <v>788</v>
      </c>
      <c r="B914" s="1707">
        <v>62</v>
      </c>
      <c r="C914" s="1895" t="s">
        <v>4160</v>
      </c>
      <c r="D914" s="1890" t="s">
        <v>4161</v>
      </c>
      <c r="E914" s="1891" t="s">
        <v>260</v>
      </c>
      <c r="F914" s="1843">
        <v>1</v>
      </c>
      <c r="G914" s="1843">
        <v>34300</v>
      </c>
      <c r="H914" s="1843">
        <f t="shared" si="54"/>
        <v>34300</v>
      </c>
      <c r="I914" s="1843">
        <v>1</v>
      </c>
      <c r="J914" s="1843">
        <v>35000</v>
      </c>
      <c r="K914" s="1843">
        <f t="shared" si="55"/>
        <v>35000</v>
      </c>
      <c r="L914" s="1843">
        <f t="shared" si="53"/>
        <v>700</v>
      </c>
      <c r="M914" s="1892" t="s">
        <v>4073</v>
      </c>
      <c r="N914" s="1658" t="s">
        <v>4063</v>
      </c>
    </row>
    <row r="915" spans="1:14">
      <c r="A915" s="1488">
        <v>789</v>
      </c>
      <c r="B915" s="1707">
        <v>63</v>
      </c>
      <c r="C915" s="1895" t="s">
        <v>4162</v>
      </c>
      <c r="D915" s="1890" t="s">
        <v>4163</v>
      </c>
      <c r="E915" s="1891" t="s">
        <v>977</v>
      </c>
      <c r="F915" s="1843">
        <v>100</v>
      </c>
      <c r="G915" s="1843">
        <v>27440</v>
      </c>
      <c r="H915" s="1843">
        <f t="shared" si="54"/>
        <v>2744000</v>
      </c>
      <c r="I915" s="1843">
        <v>100</v>
      </c>
      <c r="J915" s="1843">
        <v>28000</v>
      </c>
      <c r="K915" s="1843">
        <f t="shared" si="55"/>
        <v>2800000</v>
      </c>
      <c r="L915" s="1843">
        <f t="shared" si="53"/>
        <v>560</v>
      </c>
      <c r="M915" s="1892" t="s">
        <v>4073</v>
      </c>
      <c r="N915" s="1658" t="s">
        <v>4063</v>
      </c>
    </row>
    <row r="916" spans="1:14">
      <c r="A916" s="1488">
        <v>790</v>
      </c>
      <c r="B916" s="1707">
        <v>64</v>
      </c>
      <c r="C916" s="1895" t="s">
        <v>4164</v>
      </c>
      <c r="D916" s="1890" t="s">
        <v>4165</v>
      </c>
      <c r="E916" s="1891" t="s">
        <v>4157</v>
      </c>
      <c r="F916" s="1843">
        <v>1000</v>
      </c>
      <c r="G916" s="1843">
        <v>10584</v>
      </c>
      <c r="H916" s="1843">
        <f t="shared" si="54"/>
        <v>10584000</v>
      </c>
      <c r="I916" s="1843">
        <v>1000</v>
      </c>
      <c r="J916" s="1843">
        <v>10800</v>
      </c>
      <c r="K916" s="1843">
        <f t="shared" si="55"/>
        <v>10800000</v>
      </c>
      <c r="L916" s="1843">
        <f t="shared" si="53"/>
        <v>216</v>
      </c>
      <c r="M916" s="1892" t="s">
        <v>4073</v>
      </c>
      <c r="N916" s="1658" t="s">
        <v>4063</v>
      </c>
    </row>
    <row r="917" spans="1:14">
      <c r="A917" s="1488">
        <v>791</v>
      </c>
      <c r="B917" s="1707">
        <v>65</v>
      </c>
      <c r="C917" s="1895" t="s">
        <v>4166</v>
      </c>
      <c r="D917" s="1890" t="s">
        <v>4165</v>
      </c>
      <c r="E917" s="1891" t="s">
        <v>4157</v>
      </c>
      <c r="F917" s="1843">
        <v>1000</v>
      </c>
      <c r="G917" s="1843">
        <v>10584</v>
      </c>
      <c r="H917" s="1843">
        <f t="shared" si="54"/>
        <v>10584000</v>
      </c>
      <c r="I917" s="1843">
        <v>1000</v>
      </c>
      <c r="J917" s="1843">
        <v>10800</v>
      </c>
      <c r="K917" s="1843">
        <f t="shared" si="55"/>
        <v>10800000</v>
      </c>
      <c r="L917" s="1843">
        <f t="shared" ref="L917:L929" si="56">J917-G917</f>
        <v>216</v>
      </c>
      <c r="M917" s="1892" t="s">
        <v>4073</v>
      </c>
      <c r="N917" s="1658" t="s">
        <v>4063</v>
      </c>
    </row>
    <row r="918" spans="1:14">
      <c r="A918" s="1488">
        <v>792</v>
      </c>
      <c r="B918" s="1707">
        <v>66</v>
      </c>
      <c r="C918" s="1895" t="s">
        <v>4167</v>
      </c>
      <c r="D918" s="1890" t="s">
        <v>4168</v>
      </c>
      <c r="E918" s="1891" t="s">
        <v>4157</v>
      </c>
      <c r="F918" s="1843">
        <v>25</v>
      </c>
      <c r="G918" s="1843">
        <v>10584</v>
      </c>
      <c r="H918" s="1843">
        <f t="shared" ref="H918:H929" si="57">G918*F918</f>
        <v>264600</v>
      </c>
      <c r="I918" s="1843">
        <v>25</v>
      </c>
      <c r="J918" s="1843">
        <v>10800</v>
      </c>
      <c r="K918" s="1843">
        <f t="shared" ref="K918:K929" si="58">I918*J918</f>
        <v>270000</v>
      </c>
      <c r="L918" s="1843">
        <f t="shared" si="56"/>
        <v>216</v>
      </c>
      <c r="M918" s="1892" t="s">
        <v>4073</v>
      </c>
      <c r="N918" s="1658" t="s">
        <v>4063</v>
      </c>
    </row>
    <row r="919" spans="1:14">
      <c r="A919" s="1488">
        <v>793</v>
      </c>
      <c r="B919" s="1707">
        <v>67</v>
      </c>
      <c r="C919" s="1895" t="s">
        <v>4169</v>
      </c>
      <c r="D919" s="1890" t="s">
        <v>4168</v>
      </c>
      <c r="E919" s="1891" t="s">
        <v>4157</v>
      </c>
      <c r="F919" s="1843">
        <v>25</v>
      </c>
      <c r="G919" s="1843">
        <v>10584</v>
      </c>
      <c r="H919" s="1843">
        <f t="shared" si="57"/>
        <v>264600</v>
      </c>
      <c r="I919" s="1843">
        <v>25</v>
      </c>
      <c r="J919" s="1843">
        <v>10800</v>
      </c>
      <c r="K919" s="1843">
        <f t="shared" si="58"/>
        <v>270000</v>
      </c>
      <c r="L919" s="1843">
        <f t="shared" si="56"/>
        <v>216</v>
      </c>
      <c r="M919" s="1892" t="s">
        <v>4073</v>
      </c>
      <c r="N919" s="1658" t="s">
        <v>4063</v>
      </c>
    </row>
    <row r="920" spans="1:14">
      <c r="A920" s="1488">
        <v>794</v>
      </c>
      <c r="B920" s="1707">
        <v>68</v>
      </c>
      <c r="C920" s="1895" t="s">
        <v>4170</v>
      </c>
      <c r="D920" s="1890" t="s">
        <v>4171</v>
      </c>
      <c r="E920" s="1891" t="s">
        <v>4157</v>
      </c>
      <c r="F920" s="1843">
        <v>250</v>
      </c>
      <c r="G920" s="1843">
        <v>10584</v>
      </c>
      <c r="H920" s="1843">
        <f t="shared" si="57"/>
        <v>2646000</v>
      </c>
      <c r="I920" s="1843">
        <v>250</v>
      </c>
      <c r="J920" s="1843">
        <v>10800</v>
      </c>
      <c r="K920" s="1843">
        <f t="shared" si="58"/>
        <v>2700000</v>
      </c>
      <c r="L920" s="1843">
        <f t="shared" si="56"/>
        <v>216</v>
      </c>
      <c r="M920" s="1892" t="s">
        <v>4073</v>
      </c>
      <c r="N920" s="1658" t="s">
        <v>4063</v>
      </c>
    </row>
    <row r="921" spans="1:14">
      <c r="A921" s="1488">
        <v>795</v>
      </c>
      <c r="B921" s="1707">
        <v>69</v>
      </c>
      <c r="C921" s="1895" t="s">
        <v>4172</v>
      </c>
      <c r="D921" s="1890" t="s">
        <v>4156</v>
      </c>
      <c r="E921" s="1891" t="s">
        <v>4157</v>
      </c>
      <c r="F921" s="1843">
        <v>500</v>
      </c>
      <c r="G921" s="1843">
        <v>10584</v>
      </c>
      <c r="H921" s="1843">
        <f t="shared" si="57"/>
        <v>5292000</v>
      </c>
      <c r="I921" s="1843">
        <v>500</v>
      </c>
      <c r="J921" s="1843">
        <v>10800</v>
      </c>
      <c r="K921" s="1843">
        <f t="shared" si="58"/>
        <v>5400000</v>
      </c>
      <c r="L921" s="1843">
        <f t="shared" si="56"/>
        <v>216</v>
      </c>
      <c r="M921" s="1892" t="s">
        <v>4073</v>
      </c>
      <c r="N921" s="1658" t="s">
        <v>4063</v>
      </c>
    </row>
    <row r="922" spans="1:14">
      <c r="A922" s="1488">
        <v>796</v>
      </c>
      <c r="B922" s="1707">
        <v>70</v>
      </c>
      <c r="C922" s="1895" t="s">
        <v>4173</v>
      </c>
      <c r="D922" s="1890" t="s">
        <v>4156</v>
      </c>
      <c r="E922" s="1891" t="s">
        <v>4157</v>
      </c>
      <c r="F922" s="1843">
        <v>500</v>
      </c>
      <c r="G922" s="1843">
        <v>10584</v>
      </c>
      <c r="H922" s="1843">
        <f t="shared" si="57"/>
        <v>5292000</v>
      </c>
      <c r="I922" s="1843">
        <v>500</v>
      </c>
      <c r="J922" s="1843">
        <v>10800</v>
      </c>
      <c r="K922" s="1843">
        <f t="shared" si="58"/>
        <v>5400000</v>
      </c>
      <c r="L922" s="1843">
        <f t="shared" si="56"/>
        <v>216</v>
      </c>
      <c r="M922" s="1892" t="s">
        <v>4073</v>
      </c>
      <c r="N922" s="1658" t="s">
        <v>4063</v>
      </c>
    </row>
    <row r="923" spans="1:14">
      <c r="A923" s="1488">
        <v>797</v>
      </c>
      <c r="B923" s="1707">
        <v>71</v>
      </c>
      <c r="C923" s="1895" t="s">
        <v>4174</v>
      </c>
      <c r="D923" s="1890" t="s">
        <v>4156</v>
      </c>
      <c r="E923" s="1891" t="s">
        <v>4157</v>
      </c>
      <c r="F923" s="1843">
        <v>500</v>
      </c>
      <c r="G923" s="1843">
        <v>10584</v>
      </c>
      <c r="H923" s="1843">
        <f t="shared" si="57"/>
        <v>5292000</v>
      </c>
      <c r="I923" s="1843">
        <v>500</v>
      </c>
      <c r="J923" s="1843">
        <v>10800</v>
      </c>
      <c r="K923" s="1843">
        <f t="shared" si="58"/>
        <v>5400000</v>
      </c>
      <c r="L923" s="1843">
        <f t="shared" si="56"/>
        <v>216</v>
      </c>
      <c r="M923" s="1892" t="s">
        <v>4073</v>
      </c>
      <c r="N923" s="1658" t="s">
        <v>4063</v>
      </c>
    </row>
    <row r="924" spans="1:14">
      <c r="A924" s="1488">
        <v>798</v>
      </c>
      <c r="B924" s="1707">
        <v>72</v>
      </c>
      <c r="C924" s="1895" t="s">
        <v>3216</v>
      </c>
      <c r="D924" s="1890" t="s">
        <v>4156</v>
      </c>
      <c r="E924" s="1891" t="s">
        <v>4157</v>
      </c>
      <c r="F924" s="1843">
        <v>500</v>
      </c>
      <c r="G924" s="1843">
        <v>10584</v>
      </c>
      <c r="H924" s="1843">
        <f t="shared" si="57"/>
        <v>5292000</v>
      </c>
      <c r="I924" s="1843">
        <v>500</v>
      </c>
      <c r="J924" s="1843">
        <v>10800</v>
      </c>
      <c r="K924" s="1843">
        <f t="shared" si="58"/>
        <v>5400000</v>
      </c>
      <c r="L924" s="1843">
        <f t="shared" si="56"/>
        <v>216</v>
      </c>
      <c r="M924" s="1892" t="s">
        <v>4073</v>
      </c>
      <c r="N924" s="1658" t="s">
        <v>4063</v>
      </c>
    </row>
    <row r="925" spans="1:14">
      <c r="A925" s="1488">
        <v>799</v>
      </c>
      <c r="B925" s="1707">
        <v>73</v>
      </c>
      <c r="C925" s="1895" t="s">
        <v>4175</v>
      </c>
      <c r="D925" s="1890" t="s">
        <v>4156</v>
      </c>
      <c r="E925" s="1891" t="s">
        <v>4157</v>
      </c>
      <c r="F925" s="1843">
        <v>500</v>
      </c>
      <c r="G925" s="1843">
        <v>10584</v>
      </c>
      <c r="H925" s="1843">
        <f t="shared" si="57"/>
        <v>5292000</v>
      </c>
      <c r="I925" s="1843">
        <v>500</v>
      </c>
      <c r="J925" s="1843">
        <v>10800</v>
      </c>
      <c r="K925" s="1843">
        <f t="shared" si="58"/>
        <v>5400000</v>
      </c>
      <c r="L925" s="1843">
        <f t="shared" si="56"/>
        <v>216</v>
      </c>
      <c r="M925" s="1892" t="s">
        <v>4073</v>
      </c>
      <c r="N925" s="1658" t="s">
        <v>4063</v>
      </c>
    </row>
    <row r="926" spans="1:14">
      <c r="A926" s="1488">
        <v>800</v>
      </c>
      <c r="B926" s="1707">
        <v>74</v>
      </c>
      <c r="C926" s="1895" t="s">
        <v>4176</v>
      </c>
      <c r="D926" s="1890" t="s">
        <v>4156</v>
      </c>
      <c r="E926" s="1891" t="s">
        <v>4157</v>
      </c>
      <c r="F926" s="1843">
        <v>500</v>
      </c>
      <c r="G926" s="1843">
        <v>10584</v>
      </c>
      <c r="H926" s="1843">
        <f t="shared" si="57"/>
        <v>5292000</v>
      </c>
      <c r="I926" s="1843">
        <v>500</v>
      </c>
      <c r="J926" s="1843">
        <v>10800</v>
      </c>
      <c r="K926" s="1843">
        <f t="shared" si="58"/>
        <v>5400000</v>
      </c>
      <c r="L926" s="1843">
        <f t="shared" si="56"/>
        <v>216</v>
      </c>
      <c r="M926" s="1892" t="s">
        <v>4073</v>
      </c>
      <c r="N926" s="1658" t="s">
        <v>4063</v>
      </c>
    </row>
    <row r="927" spans="1:14">
      <c r="A927" s="1488">
        <v>801</v>
      </c>
      <c r="B927" s="1707">
        <v>75</v>
      </c>
      <c r="C927" s="1895" t="s">
        <v>4177</v>
      </c>
      <c r="D927" s="1890" t="s">
        <v>4153</v>
      </c>
      <c r="E927" s="1891" t="s">
        <v>4154</v>
      </c>
      <c r="F927" s="1843">
        <v>100</v>
      </c>
      <c r="G927" s="1843">
        <v>24500</v>
      </c>
      <c r="H927" s="1843">
        <f t="shared" si="57"/>
        <v>2450000</v>
      </c>
      <c r="I927" s="1843">
        <v>100</v>
      </c>
      <c r="J927" s="1843">
        <v>25000</v>
      </c>
      <c r="K927" s="1843">
        <f t="shared" si="58"/>
        <v>2500000</v>
      </c>
      <c r="L927" s="1843">
        <f t="shared" si="56"/>
        <v>500</v>
      </c>
      <c r="M927" s="1892" t="s">
        <v>4073</v>
      </c>
      <c r="N927" s="1658" t="s">
        <v>4063</v>
      </c>
    </row>
    <row r="928" spans="1:14">
      <c r="A928" s="1488">
        <v>802</v>
      </c>
      <c r="B928" s="1707">
        <v>76</v>
      </c>
      <c r="C928" s="1895" t="s">
        <v>4178</v>
      </c>
      <c r="D928" s="1890"/>
      <c r="E928" s="1891" t="s">
        <v>3498</v>
      </c>
      <c r="F928" s="1843">
        <v>3</v>
      </c>
      <c r="G928" s="1843">
        <v>931000</v>
      </c>
      <c r="H928" s="1843">
        <f t="shared" si="57"/>
        <v>2793000</v>
      </c>
      <c r="I928" s="1843">
        <v>3</v>
      </c>
      <c r="J928" s="1843">
        <v>1300000</v>
      </c>
      <c r="K928" s="1843">
        <f t="shared" si="58"/>
        <v>3900000</v>
      </c>
      <c r="L928" s="1843">
        <f t="shared" si="56"/>
        <v>369000</v>
      </c>
      <c r="M928" s="1892" t="s">
        <v>4071</v>
      </c>
      <c r="N928" s="1658" t="s">
        <v>4063</v>
      </c>
    </row>
    <row r="929" spans="1:14">
      <c r="A929" s="1715">
        <v>803</v>
      </c>
      <c r="B929" s="1899">
        <v>77</v>
      </c>
      <c r="C929" s="1895" t="s">
        <v>4179</v>
      </c>
      <c r="D929" s="1890"/>
      <c r="E929" s="1891" t="s">
        <v>3498</v>
      </c>
      <c r="F929" s="1849">
        <v>3</v>
      </c>
      <c r="G929" s="1849">
        <v>931000</v>
      </c>
      <c r="H929" s="1849">
        <f t="shared" si="57"/>
        <v>2793000</v>
      </c>
      <c r="I929" s="1849">
        <v>3</v>
      </c>
      <c r="J929" s="1849">
        <v>1300000</v>
      </c>
      <c r="K929" s="1849">
        <f t="shared" si="58"/>
        <v>3900000</v>
      </c>
      <c r="L929" s="1849">
        <f t="shared" si="56"/>
        <v>369000</v>
      </c>
      <c r="M929" s="1900" t="s">
        <v>4071</v>
      </c>
      <c r="N929" s="1685" t="s">
        <v>4063</v>
      </c>
    </row>
    <row r="930" spans="1:14">
      <c r="A930" s="1501"/>
      <c r="B930" s="1546"/>
      <c r="C930" s="1722" t="s">
        <v>958</v>
      </c>
      <c r="D930" s="1546"/>
      <c r="E930" s="1546"/>
      <c r="F930" s="1583"/>
      <c r="G930" s="1583"/>
      <c r="H930" s="1547">
        <f>SUM(H853:H929)</f>
        <v>2037767900</v>
      </c>
      <c r="I930" s="1667"/>
      <c r="J930" s="1583"/>
      <c r="K930" s="1547">
        <f>SUM(K853:K929)</f>
        <v>2082455000</v>
      </c>
      <c r="L930" s="1547"/>
      <c r="M930" s="1510"/>
      <c r="N930" s="1511"/>
    </row>
    <row r="931" spans="1:14">
      <c r="A931" s="1512"/>
      <c r="B931" s="1550"/>
      <c r="C931" s="1515"/>
      <c r="D931" s="1550"/>
      <c r="E931" s="1550"/>
      <c r="F931" s="1585"/>
      <c r="G931" s="1585"/>
      <c r="H931" s="1585"/>
      <c r="I931" s="1643"/>
      <c r="J931" s="1585"/>
      <c r="K931" s="1585"/>
      <c r="L931" s="1585"/>
    </row>
    <row r="932" spans="1:14">
      <c r="A932" s="1512"/>
      <c r="B932" s="1550"/>
      <c r="C932" s="1515"/>
      <c r="D932" s="1550"/>
      <c r="E932" s="1550"/>
      <c r="F932" s="1585"/>
      <c r="G932" s="1585"/>
      <c r="H932" s="1585"/>
      <c r="I932" s="1643"/>
      <c r="J932" s="1585"/>
      <c r="K932" s="1585"/>
      <c r="L932" s="1585"/>
    </row>
    <row r="933" spans="1:14">
      <c r="A933" s="1512"/>
      <c r="B933" s="1550"/>
      <c r="C933" s="1515"/>
      <c r="D933" s="1550"/>
      <c r="E933" s="1550"/>
      <c r="F933" s="1585"/>
      <c r="G933" s="1585"/>
      <c r="H933" s="1585"/>
      <c r="I933" s="1643"/>
      <c r="J933" s="1585"/>
      <c r="K933" s="1585"/>
      <c r="L933" s="1585"/>
    </row>
    <row r="934" spans="1:14">
      <c r="A934" s="1512"/>
      <c r="B934" s="1550"/>
      <c r="C934" s="1515"/>
      <c r="D934" s="1550"/>
      <c r="E934" s="1550"/>
      <c r="F934" s="1585"/>
      <c r="G934" s="1585"/>
      <c r="H934" s="1585"/>
      <c r="I934" s="1643"/>
      <c r="J934" s="1585"/>
      <c r="K934" s="1585"/>
      <c r="L934" s="1585"/>
    </row>
    <row r="935" spans="1:14">
      <c r="A935" s="2234" t="s">
        <v>4180</v>
      </c>
      <c r="B935" s="2234"/>
      <c r="C935" s="2234"/>
      <c r="D935" s="2234"/>
      <c r="E935" s="2234"/>
      <c r="F935" s="2234"/>
      <c r="G935" s="2234"/>
      <c r="H935" s="2234"/>
      <c r="I935" s="2234"/>
      <c r="J935" s="2234"/>
      <c r="K935" s="2234"/>
      <c r="L935" s="1901"/>
    </row>
    <row r="937" spans="1:14" ht="27">
      <c r="A937" s="2197" t="s">
        <v>2901</v>
      </c>
      <c r="B937" s="2199" t="s">
        <v>2902</v>
      </c>
      <c r="C937" s="2199" t="s">
        <v>2607</v>
      </c>
      <c r="D937" s="2203" t="s">
        <v>2608</v>
      </c>
      <c r="E937" s="2199" t="s">
        <v>2609</v>
      </c>
      <c r="F937" s="2205" t="s">
        <v>2903</v>
      </c>
      <c r="G937" s="2206"/>
      <c r="H937" s="2207"/>
      <c r="I937" s="2205" t="s">
        <v>2904</v>
      </c>
      <c r="J937" s="2206"/>
      <c r="K937" s="2207"/>
      <c r="L937" s="1476" t="s">
        <v>2905</v>
      </c>
      <c r="M937" s="2197" t="s">
        <v>2906</v>
      </c>
      <c r="N937" s="2208" t="s">
        <v>2907</v>
      </c>
    </row>
    <row r="938" spans="1:14">
      <c r="A938" s="2198"/>
      <c r="B938" s="2200"/>
      <c r="C938" s="2200"/>
      <c r="D938" s="2211"/>
      <c r="E938" s="2200"/>
      <c r="F938" s="1477" t="s">
        <v>2908</v>
      </c>
      <c r="G938" s="1476" t="s">
        <v>2611</v>
      </c>
      <c r="H938" s="1478" t="s">
        <v>2612</v>
      </c>
      <c r="I938" s="1477" t="s">
        <v>2908</v>
      </c>
      <c r="J938" s="1476" t="s">
        <v>2611</v>
      </c>
      <c r="K938" s="1478" t="s">
        <v>2612</v>
      </c>
      <c r="L938" s="1865"/>
      <c r="M938" s="2198"/>
      <c r="N938" s="2209"/>
    </row>
    <row r="939" spans="1:14">
      <c r="A939" s="1480">
        <v>804</v>
      </c>
      <c r="B939" s="1707">
        <v>1</v>
      </c>
      <c r="C939" s="1487" t="s">
        <v>4181</v>
      </c>
      <c r="D939" s="1694" t="s">
        <v>4182</v>
      </c>
      <c r="E939" s="1487" t="s">
        <v>4183</v>
      </c>
      <c r="F939" s="1733">
        <v>150</v>
      </c>
      <c r="G939" s="1733">
        <v>9610000</v>
      </c>
      <c r="H939" s="1733">
        <f>F939*G939</f>
        <v>1441500000</v>
      </c>
      <c r="I939" s="1733">
        <v>150</v>
      </c>
      <c r="J939" s="1733">
        <v>10090500</v>
      </c>
      <c r="K939" s="1733">
        <f t="shared" ref="K939:K955" si="59">I939*J939</f>
        <v>1513575000</v>
      </c>
      <c r="L939" s="1733">
        <f t="shared" ref="L939:L955" si="60">J939-G939</f>
        <v>480500</v>
      </c>
      <c r="M939" s="1487" t="s">
        <v>4184</v>
      </c>
      <c r="N939" s="1487" t="s">
        <v>3355</v>
      </c>
    </row>
    <row r="940" spans="1:14">
      <c r="A940" s="1699">
        <v>805</v>
      </c>
      <c r="B940" s="1707">
        <v>2</v>
      </c>
      <c r="C940" s="1487" t="s">
        <v>4185</v>
      </c>
      <c r="D940" s="1702" t="s">
        <v>4186</v>
      </c>
      <c r="E940" s="1487" t="s">
        <v>4183</v>
      </c>
      <c r="F940" s="1733">
        <v>10</v>
      </c>
      <c r="G940" s="1733">
        <v>2120000</v>
      </c>
      <c r="H940" s="1733">
        <f t="shared" ref="H940:H955" si="61">F940*G940</f>
        <v>21200000</v>
      </c>
      <c r="I940" s="1733">
        <v>10</v>
      </c>
      <c r="J940" s="1733">
        <v>2226000</v>
      </c>
      <c r="K940" s="1733">
        <f t="shared" si="59"/>
        <v>22260000</v>
      </c>
      <c r="L940" s="1733">
        <f t="shared" si="60"/>
        <v>106000</v>
      </c>
      <c r="M940" s="1487" t="s">
        <v>4184</v>
      </c>
      <c r="N940" s="1487" t="s">
        <v>3355</v>
      </c>
    </row>
    <row r="941" spans="1:14">
      <c r="A941" s="1488">
        <v>806</v>
      </c>
      <c r="B941" s="1707">
        <v>3</v>
      </c>
      <c r="C941" s="1487" t="s">
        <v>4187</v>
      </c>
      <c r="D941" s="1702" t="s">
        <v>4188</v>
      </c>
      <c r="E941" s="1487" t="s">
        <v>4183</v>
      </c>
      <c r="F941" s="1733">
        <v>5</v>
      </c>
      <c r="G941" s="1733">
        <v>2120000</v>
      </c>
      <c r="H941" s="1733">
        <f t="shared" si="61"/>
        <v>10600000</v>
      </c>
      <c r="I941" s="1733">
        <v>5</v>
      </c>
      <c r="J941" s="1733">
        <v>2226000</v>
      </c>
      <c r="K941" s="1733">
        <f t="shared" si="59"/>
        <v>11130000</v>
      </c>
      <c r="L941" s="1733">
        <f t="shared" si="60"/>
        <v>106000</v>
      </c>
      <c r="M941" s="1487" t="s">
        <v>4184</v>
      </c>
      <c r="N941" s="1487" t="s">
        <v>3355</v>
      </c>
    </row>
    <row r="942" spans="1:14">
      <c r="A942" s="1488">
        <v>807</v>
      </c>
      <c r="B942" s="1707">
        <v>4</v>
      </c>
      <c r="C942" s="1487" t="s">
        <v>4189</v>
      </c>
      <c r="D942" s="1702" t="s">
        <v>4190</v>
      </c>
      <c r="E942" s="1487" t="s">
        <v>4183</v>
      </c>
      <c r="F942" s="1733">
        <v>5</v>
      </c>
      <c r="G942" s="1733">
        <v>4300000</v>
      </c>
      <c r="H942" s="1733">
        <f t="shared" si="61"/>
        <v>21500000</v>
      </c>
      <c r="I942" s="1733">
        <v>5</v>
      </c>
      <c r="J942" s="1733">
        <v>4515000</v>
      </c>
      <c r="K942" s="1733">
        <f t="shared" si="59"/>
        <v>22575000</v>
      </c>
      <c r="L942" s="1733">
        <f t="shared" si="60"/>
        <v>215000</v>
      </c>
      <c r="M942" s="1487" t="s">
        <v>4184</v>
      </c>
      <c r="N942" s="1487" t="s">
        <v>3355</v>
      </c>
    </row>
    <row r="943" spans="1:14">
      <c r="A943" s="1488">
        <v>808</v>
      </c>
      <c r="B943" s="1707">
        <v>5</v>
      </c>
      <c r="C943" s="1487" t="s">
        <v>4191</v>
      </c>
      <c r="D943" s="1702" t="s">
        <v>3035</v>
      </c>
      <c r="E943" s="1487" t="s">
        <v>4183</v>
      </c>
      <c r="F943" s="1733">
        <v>150</v>
      </c>
      <c r="G943" s="1733">
        <v>3620000</v>
      </c>
      <c r="H943" s="1733">
        <f t="shared" si="61"/>
        <v>543000000</v>
      </c>
      <c r="I943" s="1733">
        <v>150</v>
      </c>
      <c r="J943" s="1733">
        <v>3801000</v>
      </c>
      <c r="K943" s="1733">
        <f t="shared" si="59"/>
        <v>570150000</v>
      </c>
      <c r="L943" s="1733">
        <f t="shared" si="60"/>
        <v>181000</v>
      </c>
      <c r="M943" s="1487" t="s">
        <v>4184</v>
      </c>
      <c r="N943" s="1487" t="s">
        <v>3355</v>
      </c>
    </row>
    <row r="944" spans="1:14">
      <c r="A944" s="1488">
        <v>809</v>
      </c>
      <c r="B944" s="1707">
        <v>6</v>
      </c>
      <c r="C944" s="1487" t="s">
        <v>4192</v>
      </c>
      <c r="D944" s="1702" t="s">
        <v>4186</v>
      </c>
      <c r="E944" s="1487" t="s">
        <v>4183</v>
      </c>
      <c r="F944" s="1733">
        <v>10</v>
      </c>
      <c r="G944" s="1733">
        <v>1640000</v>
      </c>
      <c r="H944" s="1733">
        <f t="shared" si="61"/>
        <v>16400000</v>
      </c>
      <c r="I944" s="1733">
        <v>10</v>
      </c>
      <c r="J944" s="1733">
        <v>1722000</v>
      </c>
      <c r="K944" s="1733">
        <f t="shared" si="59"/>
        <v>17220000</v>
      </c>
      <c r="L944" s="1733">
        <f t="shared" si="60"/>
        <v>82000</v>
      </c>
      <c r="M944" s="1487" t="s">
        <v>4184</v>
      </c>
      <c r="N944" s="1487" t="s">
        <v>3355</v>
      </c>
    </row>
    <row r="945" spans="1:16">
      <c r="A945" s="1488">
        <v>810</v>
      </c>
      <c r="B945" s="1707">
        <v>7</v>
      </c>
      <c r="C945" s="1487" t="s">
        <v>4193</v>
      </c>
      <c r="D945" s="1702" t="s">
        <v>3035</v>
      </c>
      <c r="E945" s="1487" t="s">
        <v>4183</v>
      </c>
      <c r="F945" s="1733">
        <v>2</v>
      </c>
      <c r="G945" s="1733">
        <v>3572100</v>
      </c>
      <c r="H945" s="1733">
        <f t="shared" si="61"/>
        <v>7144200</v>
      </c>
      <c r="I945" s="1733">
        <v>2</v>
      </c>
      <c r="J945" s="1733">
        <v>3750705</v>
      </c>
      <c r="K945" s="1733">
        <f t="shared" si="59"/>
        <v>7501410</v>
      </c>
      <c r="L945" s="1733">
        <f t="shared" si="60"/>
        <v>178605</v>
      </c>
      <c r="M945" s="1487" t="s">
        <v>4184</v>
      </c>
      <c r="N945" s="1487" t="s">
        <v>3355</v>
      </c>
    </row>
    <row r="946" spans="1:16">
      <c r="A946" s="1488">
        <v>811</v>
      </c>
      <c r="B946" s="1707">
        <v>8</v>
      </c>
      <c r="C946" s="1487" t="s">
        <v>4194</v>
      </c>
      <c r="D946" s="1702" t="s">
        <v>4195</v>
      </c>
      <c r="E946" s="1487" t="s">
        <v>4183</v>
      </c>
      <c r="F946" s="1733">
        <v>1</v>
      </c>
      <c r="G946" s="1733">
        <v>899640</v>
      </c>
      <c r="H946" s="1733">
        <f t="shared" si="61"/>
        <v>899640</v>
      </c>
      <c r="I946" s="1733">
        <v>1</v>
      </c>
      <c r="J946" s="1733">
        <v>944622</v>
      </c>
      <c r="K946" s="1733">
        <f t="shared" si="59"/>
        <v>944622</v>
      </c>
      <c r="L946" s="1733">
        <f t="shared" si="60"/>
        <v>44982</v>
      </c>
      <c r="M946" s="1487" t="s">
        <v>4184</v>
      </c>
      <c r="N946" s="1487" t="s">
        <v>3355</v>
      </c>
    </row>
    <row r="947" spans="1:16">
      <c r="A947" s="1488">
        <v>812</v>
      </c>
      <c r="B947" s="1707">
        <v>9</v>
      </c>
      <c r="C947" s="1487" t="s">
        <v>4196</v>
      </c>
      <c r="D947" s="1702" t="s">
        <v>4188</v>
      </c>
      <c r="E947" s="1487" t="s">
        <v>4183</v>
      </c>
      <c r="F947" s="1733">
        <v>1</v>
      </c>
      <c r="G947" s="1733">
        <v>2354940</v>
      </c>
      <c r="H947" s="1733">
        <f t="shared" si="61"/>
        <v>2354940</v>
      </c>
      <c r="I947" s="1733">
        <v>1</v>
      </c>
      <c r="J947" s="1733">
        <v>2472687</v>
      </c>
      <c r="K947" s="1733">
        <f t="shared" si="59"/>
        <v>2472687</v>
      </c>
      <c r="L947" s="1733">
        <f t="shared" si="60"/>
        <v>117747</v>
      </c>
      <c r="M947" s="1487" t="s">
        <v>4184</v>
      </c>
      <c r="N947" s="1487" t="s">
        <v>3355</v>
      </c>
    </row>
    <row r="948" spans="1:16">
      <c r="A948" s="1488">
        <v>813</v>
      </c>
      <c r="B948" s="1707">
        <v>10</v>
      </c>
      <c r="C948" s="1487" t="s">
        <v>4197</v>
      </c>
      <c r="D948" s="1702" t="s">
        <v>3035</v>
      </c>
      <c r="E948" s="1487" t="s">
        <v>4183</v>
      </c>
      <c r="F948" s="1733">
        <v>150</v>
      </c>
      <c r="G948" s="1733">
        <v>6762000</v>
      </c>
      <c r="H948" s="1733">
        <f t="shared" si="61"/>
        <v>1014300000</v>
      </c>
      <c r="I948" s="1733">
        <v>150</v>
      </c>
      <c r="J948" s="1733">
        <v>7100100</v>
      </c>
      <c r="K948" s="1733">
        <f t="shared" si="59"/>
        <v>1065015000</v>
      </c>
      <c r="L948" s="1733">
        <f t="shared" si="60"/>
        <v>338100</v>
      </c>
      <c r="M948" s="1487" t="s">
        <v>4184</v>
      </c>
      <c r="N948" s="1487" t="s">
        <v>3355</v>
      </c>
    </row>
    <row r="949" spans="1:16">
      <c r="A949" s="1488">
        <v>814</v>
      </c>
      <c r="B949" s="1707">
        <v>11</v>
      </c>
      <c r="C949" s="1487" t="s">
        <v>4198</v>
      </c>
      <c r="D949" s="1702" t="s">
        <v>4199</v>
      </c>
      <c r="E949" s="1487" t="s">
        <v>4183</v>
      </c>
      <c r="F949" s="1733">
        <v>10</v>
      </c>
      <c r="G949" s="1733">
        <v>1640000</v>
      </c>
      <c r="H949" s="1733">
        <f t="shared" si="61"/>
        <v>16400000</v>
      </c>
      <c r="I949" s="1733">
        <v>10</v>
      </c>
      <c r="J949" s="1733">
        <v>1722000</v>
      </c>
      <c r="K949" s="1733">
        <f t="shared" si="59"/>
        <v>17220000</v>
      </c>
      <c r="L949" s="1733">
        <f t="shared" si="60"/>
        <v>82000</v>
      </c>
      <c r="M949" s="1487" t="s">
        <v>4184</v>
      </c>
      <c r="N949" s="1487" t="s">
        <v>3355</v>
      </c>
    </row>
    <row r="950" spans="1:16">
      <c r="A950" s="1488">
        <v>815</v>
      </c>
      <c r="B950" s="1707">
        <v>12</v>
      </c>
      <c r="C950" s="1487" t="s">
        <v>4200</v>
      </c>
      <c r="D950" s="1702" t="s">
        <v>4201</v>
      </c>
      <c r="E950" s="1487" t="s">
        <v>4183</v>
      </c>
      <c r="F950" s="1733">
        <v>5</v>
      </c>
      <c r="G950" s="1733">
        <v>2122000</v>
      </c>
      <c r="H950" s="1733">
        <f t="shared" si="61"/>
        <v>10610000</v>
      </c>
      <c r="I950" s="1733">
        <v>5</v>
      </c>
      <c r="J950" s="1733">
        <v>2228100</v>
      </c>
      <c r="K950" s="1733">
        <f t="shared" si="59"/>
        <v>11140500</v>
      </c>
      <c r="L950" s="1733">
        <f t="shared" si="60"/>
        <v>106100</v>
      </c>
      <c r="M950" s="1487" t="s">
        <v>4184</v>
      </c>
      <c r="N950" s="1487" t="s">
        <v>3355</v>
      </c>
    </row>
    <row r="951" spans="1:16">
      <c r="A951" s="1488">
        <v>816</v>
      </c>
      <c r="B951" s="1707">
        <v>13</v>
      </c>
      <c r="C951" s="1487" t="s">
        <v>4202</v>
      </c>
      <c r="D951" s="1702" t="s">
        <v>4203</v>
      </c>
      <c r="E951" s="1487" t="s">
        <v>4183</v>
      </c>
      <c r="F951" s="1733">
        <v>150</v>
      </c>
      <c r="G951" s="1733">
        <v>1590000</v>
      </c>
      <c r="H951" s="1733">
        <f t="shared" si="61"/>
        <v>238500000</v>
      </c>
      <c r="I951" s="1733">
        <v>150</v>
      </c>
      <c r="J951" s="1733">
        <v>1669500</v>
      </c>
      <c r="K951" s="1733">
        <f t="shared" si="59"/>
        <v>250425000</v>
      </c>
      <c r="L951" s="1733">
        <f t="shared" si="60"/>
        <v>79500</v>
      </c>
      <c r="M951" s="1487" t="s">
        <v>4184</v>
      </c>
      <c r="N951" s="1487" t="s">
        <v>3355</v>
      </c>
    </row>
    <row r="952" spans="1:16">
      <c r="A952" s="1488">
        <v>817</v>
      </c>
      <c r="B952" s="1707">
        <v>14</v>
      </c>
      <c r="C952" s="1487" t="s">
        <v>4204</v>
      </c>
      <c r="D952" s="1702" t="s">
        <v>4205</v>
      </c>
      <c r="E952" s="1487" t="s">
        <v>4183</v>
      </c>
      <c r="F952" s="1733">
        <v>45</v>
      </c>
      <c r="G952" s="1733">
        <v>4593000</v>
      </c>
      <c r="H952" s="1733">
        <f t="shared" si="61"/>
        <v>206685000</v>
      </c>
      <c r="I952" s="1733">
        <v>45</v>
      </c>
      <c r="J952" s="1733">
        <v>4822650</v>
      </c>
      <c r="K952" s="1733">
        <f t="shared" si="59"/>
        <v>217019250</v>
      </c>
      <c r="L952" s="1733">
        <f t="shared" si="60"/>
        <v>229650</v>
      </c>
      <c r="M952" s="1487" t="s">
        <v>4184</v>
      </c>
      <c r="N952" s="1487" t="s">
        <v>3355</v>
      </c>
    </row>
    <row r="953" spans="1:16">
      <c r="A953" s="1488">
        <v>818</v>
      </c>
      <c r="B953" s="1707">
        <v>15</v>
      </c>
      <c r="C953" s="1487" t="s">
        <v>4206</v>
      </c>
      <c r="D953" s="1702" t="s">
        <v>4207</v>
      </c>
      <c r="E953" s="1487" t="s">
        <v>4183</v>
      </c>
      <c r="F953" s="1733">
        <v>180</v>
      </c>
      <c r="G953" s="1733">
        <v>918000</v>
      </c>
      <c r="H953" s="1733">
        <f t="shared" si="61"/>
        <v>165240000</v>
      </c>
      <c r="I953" s="1733">
        <v>180</v>
      </c>
      <c r="J953" s="1733">
        <v>963900</v>
      </c>
      <c r="K953" s="1733">
        <f t="shared" si="59"/>
        <v>173502000</v>
      </c>
      <c r="L953" s="1733">
        <f t="shared" si="60"/>
        <v>45900</v>
      </c>
      <c r="M953" s="1487" t="s">
        <v>4208</v>
      </c>
      <c r="N953" s="1487" t="s">
        <v>3355</v>
      </c>
    </row>
    <row r="954" spans="1:16">
      <c r="A954" s="1488">
        <v>819</v>
      </c>
      <c r="B954" s="1707">
        <v>16</v>
      </c>
      <c r="C954" s="1487" t="s">
        <v>4209</v>
      </c>
      <c r="D954" s="1702" t="s">
        <v>4210</v>
      </c>
      <c r="E954" s="1487" t="s">
        <v>4183</v>
      </c>
      <c r="F954" s="1733">
        <v>12</v>
      </c>
      <c r="G954" s="1733">
        <v>2780000</v>
      </c>
      <c r="H954" s="1733">
        <f t="shared" si="61"/>
        <v>33360000</v>
      </c>
      <c r="I954" s="1733">
        <v>12</v>
      </c>
      <c r="J954" s="1733">
        <v>2919000</v>
      </c>
      <c r="K954" s="1733">
        <f t="shared" si="59"/>
        <v>35028000</v>
      </c>
      <c r="L954" s="1733">
        <f t="shared" si="60"/>
        <v>139000</v>
      </c>
      <c r="M954" s="1487" t="s">
        <v>4211</v>
      </c>
      <c r="N954" s="1487" t="s">
        <v>3355</v>
      </c>
    </row>
    <row r="955" spans="1:16">
      <c r="A955" s="1715">
        <v>820</v>
      </c>
      <c r="B955" s="1707">
        <v>17</v>
      </c>
      <c r="C955" s="1902" t="s">
        <v>4212</v>
      </c>
      <c r="D955" s="1903" t="s">
        <v>4213</v>
      </c>
      <c r="E955" s="1487" t="s">
        <v>435</v>
      </c>
      <c r="F955" s="1733">
        <v>3</v>
      </c>
      <c r="G955" s="1733">
        <v>3183400</v>
      </c>
      <c r="H955" s="1733">
        <f t="shared" si="61"/>
        <v>9550200</v>
      </c>
      <c r="I955" s="1733">
        <v>3</v>
      </c>
      <c r="J955" s="1737">
        <v>3342570</v>
      </c>
      <c r="K955" s="1737">
        <f t="shared" si="59"/>
        <v>10027710</v>
      </c>
      <c r="L955" s="1737">
        <f t="shared" si="60"/>
        <v>159170</v>
      </c>
      <c r="M955" s="1728" t="s">
        <v>4208</v>
      </c>
      <c r="N955" s="1728" t="s">
        <v>3355</v>
      </c>
    </row>
    <row r="956" spans="1:16">
      <c r="A956" s="1501"/>
      <c r="B956" s="1546"/>
      <c r="C956" s="1536" t="s">
        <v>958</v>
      </c>
      <c r="D956" s="1536"/>
      <c r="E956" s="1536"/>
      <c r="F956" s="1738"/>
      <c r="G956" s="1738"/>
      <c r="H956" s="2279">
        <f>SUM(H939:H955)</f>
        <v>3759243980</v>
      </c>
      <c r="I956" s="1548"/>
      <c r="J956" s="1584"/>
      <c r="K956" s="1726">
        <f>SUM(K939:K955)</f>
        <v>3947206179</v>
      </c>
      <c r="L956" s="1726"/>
      <c r="M956" s="1510"/>
      <c r="N956" s="1511"/>
    </row>
    <row r="957" spans="1:16">
      <c r="A957" s="1512"/>
      <c r="B957" s="1550"/>
      <c r="C957" s="1515"/>
      <c r="D957" s="1515"/>
      <c r="E957" s="1515"/>
      <c r="F957" s="1589"/>
      <c r="G957" s="1589"/>
      <c r="H957" s="1589"/>
      <c r="I957" s="1517"/>
      <c r="J957" s="1586"/>
      <c r="K957" s="1586"/>
      <c r="L957" s="1586"/>
    </row>
    <row r="958" spans="1:16">
      <c r="A958" s="1512"/>
      <c r="B958" s="1550"/>
      <c r="C958" s="1515"/>
      <c r="D958" s="1515"/>
      <c r="E958" s="1515"/>
      <c r="F958" s="1589"/>
      <c r="G958" s="1589"/>
      <c r="H958" s="1589"/>
      <c r="I958" s="1517"/>
      <c r="J958" s="1586"/>
      <c r="K958" s="1586"/>
      <c r="L958" s="1586"/>
    </row>
    <row r="960" spans="1:16">
      <c r="A960" s="2236" t="s">
        <v>4214</v>
      </c>
      <c r="B960" s="2236"/>
      <c r="C960" s="2236"/>
      <c r="D960" s="2236"/>
      <c r="E960" s="2236"/>
      <c r="F960" s="2236"/>
      <c r="G960" s="2236"/>
      <c r="H960" s="2236"/>
      <c r="I960" s="2236"/>
      <c r="J960" s="2236"/>
      <c r="K960" s="2236"/>
      <c r="L960" s="1904"/>
      <c r="M960" s="1905"/>
      <c r="N960" s="1906"/>
      <c r="O960" s="1905"/>
      <c r="P960" s="1905"/>
    </row>
    <row r="962" spans="1:14" ht="27">
      <c r="A962" s="2197" t="s">
        <v>2901</v>
      </c>
      <c r="B962" s="2199" t="s">
        <v>2902</v>
      </c>
      <c r="C962" s="2199" t="s">
        <v>2607</v>
      </c>
      <c r="D962" s="2203" t="s">
        <v>2608</v>
      </c>
      <c r="E962" s="2199" t="s">
        <v>2609</v>
      </c>
      <c r="F962" s="2205" t="s">
        <v>2903</v>
      </c>
      <c r="G962" s="2206"/>
      <c r="H962" s="2207"/>
      <c r="I962" s="2205" t="s">
        <v>2904</v>
      </c>
      <c r="J962" s="2206"/>
      <c r="K962" s="2207"/>
      <c r="L962" s="1476" t="s">
        <v>2905</v>
      </c>
      <c r="M962" s="2197" t="s">
        <v>2906</v>
      </c>
      <c r="N962" s="2208" t="s">
        <v>2907</v>
      </c>
    </row>
    <row r="963" spans="1:14">
      <c r="A963" s="2198"/>
      <c r="B963" s="2200"/>
      <c r="C963" s="2200"/>
      <c r="D963" s="2204"/>
      <c r="E963" s="2215"/>
      <c r="F963" s="1477" t="s">
        <v>2908</v>
      </c>
      <c r="G963" s="1476" t="s">
        <v>2611</v>
      </c>
      <c r="H963" s="1478" t="s">
        <v>2612</v>
      </c>
      <c r="I963" s="1477" t="s">
        <v>2908</v>
      </c>
      <c r="J963" s="1476" t="s">
        <v>2611</v>
      </c>
      <c r="K963" s="1478" t="s">
        <v>2612</v>
      </c>
      <c r="L963" s="1865"/>
      <c r="M963" s="2198"/>
      <c r="N963" s="2209"/>
    </row>
    <row r="964" spans="1:14" ht="18">
      <c r="A964" s="1480">
        <v>821</v>
      </c>
      <c r="B964" s="1707">
        <v>1</v>
      </c>
      <c r="C964" s="1487" t="s">
        <v>4215</v>
      </c>
      <c r="D964" s="1907" t="s">
        <v>4216</v>
      </c>
      <c r="E964" s="1651" t="s">
        <v>4217</v>
      </c>
      <c r="F964" s="1651">
        <v>120</v>
      </c>
      <c r="G964" s="1651">
        <v>6716000</v>
      </c>
      <c r="H964" s="1651">
        <f>F964*G964</f>
        <v>805920000</v>
      </c>
      <c r="I964" s="1651">
        <v>120</v>
      </c>
      <c r="J964" s="1651">
        <v>7051800</v>
      </c>
      <c r="K964" s="1651">
        <f>I964*J964</f>
        <v>846216000</v>
      </c>
      <c r="L964" s="1651">
        <f t="shared" ref="L964:L971" si="62">J964-G964</f>
        <v>335800</v>
      </c>
      <c r="M964" s="1592" t="s">
        <v>4208</v>
      </c>
      <c r="N964" s="1592" t="s">
        <v>3355</v>
      </c>
    </row>
    <row r="965" spans="1:14" ht="18">
      <c r="A965" s="1699">
        <v>822</v>
      </c>
      <c r="B965" s="1700">
        <v>2</v>
      </c>
      <c r="C965" s="1728" t="s">
        <v>4218</v>
      </c>
      <c r="D965" s="1908" t="s">
        <v>4216</v>
      </c>
      <c r="E965" s="1603" t="s">
        <v>4217</v>
      </c>
      <c r="F965" s="1603">
        <v>180</v>
      </c>
      <c r="G965" s="1603">
        <v>6156000</v>
      </c>
      <c r="H965" s="1603">
        <f t="shared" ref="H965:H971" si="63">F965*G965</f>
        <v>1108080000</v>
      </c>
      <c r="I965" s="1603">
        <v>180</v>
      </c>
      <c r="J965" s="1603">
        <v>6463800</v>
      </c>
      <c r="K965" s="1603">
        <f t="shared" ref="K965:K971" si="64">I965*J965</f>
        <v>1163484000</v>
      </c>
      <c r="L965" s="1603">
        <f t="shared" si="62"/>
        <v>307800</v>
      </c>
      <c r="M965" s="1598" t="s">
        <v>4208</v>
      </c>
      <c r="N965" s="1598" t="s">
        <v>3355</v>
      </c>
    </row>
    <row r="966" spans="1:14" ht="18">
      <c r="A966" s="1488">
        <v>823</v>
      </c>
      <c r="B966" s="1707">
        <v>3</v>
      </c>
      <c r="C966" s="1487" t="s">
        <v>4219</v>
      </c>
      <c r="D966" s="1908" t="s">
        <v>4216</v>
      </c>
      <c r="E966" s="1603" t="s">
        <v>4217</v>
      </c>
      <c r="F966" s="1603">
        <v>30</v>
      </c>
      <c r="G966" s="1603">
        <v>6716000</v>
      </c>
      <c r="H966" s="1603">
        <f t="shared" si="63"/>
        <v>201480000</v>
      </c>
      <c r="I966" s="1603">
        <v>30</v>
      </c>
      <c r="J966" s="1603">
        <v>7051800</v>
      </c>
      <c r="K966" s="1603">
        <f t="shared" si="64"/>
        <v>211554000</v>
      </c>
      <c r="L966" s="1603">
        <f t="shared" si="62"/>
        <v>335800</v>
      </c>
      <c r="M966" s="1598" t="s">
        <v>4208</v>
      </c>
      <c r="N966" s="1598" t="s">
        <v>3355</v>
      </c>
    </row>
    <row r="967" spans="1:14" ht="18">
      <c r="A967" s="1488">
        <v>824</v>
      </c>
      <c r="B967" s="1707">
        <v>4</v>
      </c>
      <c r="C967" s="1487" t="s">
        <v>4220</v>
      </c>
      <c r="D967" s="1908" t="s">
        <v>4216</v>
      </c>
      <c r="E967" s="1603" t="s">
        <v>4217</v>
      </c>
      <c r="F967" s="1603">
        <v>20</v>
      </c>
      <c r="G967" s="1603">
        <v>6718000</v>
      </c>
      <c r="H967" s="1603">
        <f t="shared" si="63"/>
        <v>134360000</v>
      </c>
      <c r="I967" s="1603">
        <v>20</v>
      </c>
      <c r="J967" s="1603">
        <v>7053900</v>
      </c>
      <c r="K967" s="1603">
        <f t="shared" si="64"/>
        <v>141078000</v>
      </c>
      <c r="L967" s="1603">
        <f t="shared" si="62"/>
        <v>335900</v>
      </c>
      <c r="M967" s="1598" t="s">
        <v>4208</v>
      </c>
      <c r="N967" s="1598" t="s">
        <v>3355</v>
      </c>
    </row>
    <row r="968" spans="1:14">
      <c r="A968" s="1488">
        <v>825</v>
      </c>
      <c r="B968" s="1707">
        <v>5</v>
      </c>
      <c r="C968" s="1487" t="s">
        <v>4221</v>
      </c>
      <c r="D968" s="1908" t="s">
        <v>4222</v>
      </c>
      <c r="E968" s="1603" t="s">
        <v>4217</v>
      </c>
      <c r="F968" s="1603">
        <v>10</v>
      </c>
      <c r="G968" s="1603">
        <v>710000</v>
      </c>
      <c r="H968" s="1603">
        <f t="shared" si="63"/>
        <v>7100000</v>
      </c>
      <c r="I968" s="1603">
        <v>10</v>
      </c>
      <c r="J968" s="1603">
        <v>745500</v>
      </c>
      <c r="K968" s="1603">
        <f t="shared" si="64"/>
        <v>7455000</v>
      </c>
      <c r="L968" s="1603">
        <f t="shared" si="62"/>
        <v>35500</v>
      </c>
      <c r="M968" s="1598" t="s">
        <v>4208</v>
      </c>
      <c r="N968" s="1598" t="s">
        <v>3355</v>
      </c>
    </row>
    <row r="969" spans="1:14">
      <c r="A969" s="1488">
        <v>826</v>
      </c>
      <c r="B969" s="1707">
        <v>6</v>
      </c>
      <c r="C969" s="1487" t="s">
        <v>4223</v>
      </c>
      <c r="D969" s="1908" t="s">
        <v>3300</v>
      </c>
      <c r="E969" s="1603" t="s">
        <v>4217</v>
      </c>
      <c r="F969" s="1603">
        <v>1500</v>
      </c>
      <c r="G969" s="1603">
        <v>8000</v>
      </c>
      <c r="H969" s="1603">
        <f t="shared" si="63"/>
        <v>12000000</v>
      </c>
      <c r="I969" s="1603">
        <v>1500</v>
      </c>
      <c r="J969" s="1603">
        <v>8400</v>
      </c>
      <c r="K969" s="1603">
        <f t="shared" si="64"/>
        <v>12600000</v>
      </c>
      <c r="L969" s="1603">
        <f t="shared" si="62"/>
        <v>400</v>
      </c>
      <c r="M969" s="1598" t="s">
        <v>261</v>
      </c>
      <c r="N969" s="1598" t="s">
        <v>3355</v>
      </c>
    </row>
    <row r="970" spans="1:14">
      <c r="A970" s="1715">
        <v>827</v>
      </c>
      <c r="B970" s="1716">
        <v>7</v>
      </c>
      <c r="C970" s="1909" t="s">
        <v>4224</v>
      </c>
      <c r="D970" s="1908" t="s">
        <v>4225</v>
      </c>
      <c r="E970" s="1603" t="s">
        <v>4225</v>
      </c>
      <c r="F970" s="1603">
        <v>50</v>
      </c>
      <c r="G970" s="1603">
        <v>138000</v>
      </c>
      <c r="H970" s="1603">
        <f t="shared" si="63"/>
        <v>6900000</v>
      </c>
      <c r="I970" s="1603">
        <v>50</v>
      </c>
      <c r="J970" s="1603">
        <v>144900</v>
      </c>
      <c r="K970" s="1603">
        <f t="shared" si="64"/>
        <v>7245000</v>
      </c>
      <c r="L970" s="1603">
        <f t="shared" si="62"/>
        <v>6900</v>
      </c>
      <c r="M970" s="1598" t="s">
        <v>261</v>
      </c>
      <c r="N970" s="1598" t="s">
        <v>3355</v>
      </c>
    </row>
    <row r="971" spans="1:14">
      <c r="A971" s="1488">
        <v>828</v>
      </c>
      <c r="B971" s="1707">
        <v>8</v>
      </c>
      <c r="C971" s="1487" t="s">
        <v>4226</v>
      </c>
      <c r="D971" s="1910" t="s">
        <v>4227</v>
      </c>
      <c r="E971" s="1665" t="s">
        <v>4227</v>
      </c>
      <c r="F971" s="1665">
        <v>100</v>
      </c>
      <c r="G971" s="1665">
        <v>39000</v>
      </c>
      <c r="H971" s="1665">
        <f t="shared" si="63"/>
        <v>3900000</v>
      </c>
      <c r="I971" s="1665">
        <v>100</v>
      </c>
      <c r="J971" s="1665">
        <v>40950</v>
      </c>
      <c r="K971" s="1665">
        <f t="shared" si="64"/>
        <v>4095000</v>
      </c>
      <c r="L971" s="1665">
        <f t="shared" si="62"/>
        <v>1950</v>
      </c>
      <c r="M971" s="1662" t="s">
        <v>4228</v>
      </c>
      <c r="N971" s="1662" t="s">
        <v>3355</v>
      </c>
    </row>
    <row r="972" spans="1:14">
      <c r="A972" s="1501"/>
      <c r="B972" s="1546"/>
      <c r="C972" s="1536" t="s">
        <v>958</v>
      </c>
      <c r="D972" s="1504"/>
      <c r="E972" s="1504"/>
      <c r="F972" s="1723"/>
      <c r="G972" s="1738"/>
      <c r="H972" s="1726">
        <f>SUM(H964:H971)</f>
        <v>2279740000</v>
      </c>
      <c r="I972" s="1548"/>
      <c r="J972" s="1584"/>
      <c r="K972" s="1726">
        <f>SUM(K964:K971)</f>
        <v>2393727000</v>
      </c>
      <c r="L972" s="1726"/>
      <c r="M972" s="1510"/>
      <c r="N972" s="1511"/>
    </row>
    <row r="976" spans="1:14">
      <c r="A976" s="2234" t="s">
        <v>4229</v>
      </c>
      <c r="B976" s="2234"/>
      <c r="C976" s="2234"/>
      <c r="D976" s="2234"/>
      <c r="E976" s="2234"/>
      <c r="F976" s="2234"/>
      <c r="G976" s="2234"/>
      <c r="H976" s="2234"/>
      <c r="I976" s="2234"/>
      <c r="J976" s="2234"/>
      <c r="K976" s="2234"/>
      <c r="L976" s="1901"/>
    </row>
    <row r="977" spans="1:14">
      <c r="B977" s="1911"/>
      <c r="C977" s="1911"/>
      <c r="D977" s="1515"/>
      <c r="E977" s="1911"/>
      <c r="F977" s="1912"/>
      <c r="G977" s="1912"/>
      <c r="H977" s="1912"/>
      <c r="I977" s="1858"/>
      <c r="J977" s="1912"/>
      <c r="K977" s="1589"/>
      <c r="L977" s="1589"/>
    </row>
    <row r="978" spans="1:14">
      <c r="A978" s="2235"/>
      <c r="B978" s="2235"/>
      <c r="C978" s="2235"/>
      <c r="D978" s="2235"/>
      <c r="E978" s="2235"/>
      <c r="F978" s="1479"/>
      <c r="G978" s="1479"/>
      <c r="H978" s="1479"/>
    </row>
    <row r="979" spans="1:14" ht="27">
      <c r="A979" s="2197" t="s">
        <v>2901</v>
      </c>
      <c r="B979" s="2199" t="s">
        <v>2902</v>
      </c>
      <c r="C979" s="2199" t="s">
        <v>2607</v>
      </c>
      <c r="D979" s="2203" t="s">
        <v>2608</v>
      </c>
      <c r="E979" s="2199" t="s">
        <v>2609</v>
      </c>
      <c r="F979" s="2205" t="s">
        <v>2903</v>
      </c>
      <c r="G979" s="2206"/>
      <c r="H979" s="2207"/>
      <c r="I979" s="2205" t="s">
        <v>2904</v>
      </c>
      <c r="J979" s="2206"/>
      <c r="K979" s="2207"/>
      <c r="L979" s="1476" t="s">
        <v>2905</v>
      </c>
      <c r="M979" s="2197" t="s">
        <v>2906</v>
      </c>
      <c r="N979" s="2208" t="s">
        <v>2907</v>
      </c>
    </row>
    <row r="980" spans="1:14">
      <c r="A980" s="2198"/>
      <c r="B980" s="2200"/>
      <c r="C980" s="2200"/>
      <c r="D980" s="2211"/>
      <c r="E980" s="2200"/>
      <c r="F980" s="1477" t="s">
        <v>2908</v>
      </c>
      <c r="G980" s="1476" t="s">
        <v>2611</v>
      </c>
      <c r="H980" s="1478" t="s">
        <v>2612</v>
      </c>
      <c r="I980" s="1477" t="s">
        <v>2908</v>
      </c>
      <c r="J980" s="1476" t="s">
        <v>2611</v>
      </c>
      <c r="K980" s="1478" t="s">
        <v>2612</v>
      </c>
      <c r="L980" s="1865"/>
      <c r="M980" s="2198"/>
      <c r="N980" s="2209"/>
    </row>
    <row r="981" spans="1:14">
      <c r="A981" s="1520">
        <v>829</v>
      </c>
      <c r="B981" s="1727">
        <v>1</v>
      </c>
      <c r="C981" s="1913" t="s">
        <v>4230</v>
      </c>
      <c r="D981" s="1914" t="s">
        <v>4231</v>
      </c>
      <c r="E981" s="1914" t="s">
        <v>435</v>
      </c>
      <c r="F981" s="1652">
        <v>100</v>
      </c>
      <c r="G981" s="1652">
        <v>4895000</v>
      </c>
      <c r="H981" s="1652">
        <f>F981*G981</f>
        <v>489500000</v>
      </c>
      <c r="I981" s="1652">
        <v>100</v>
      </c>
      <c r="J981" s="1652">
        <v>5139750</v>
      </c>
      <c r="K981" s="1652">
        <f t="shared" ref="K981:K1005" si="65">I981*J981</f>
        <v>513975000</v>
      </c>
      <c r="L981" s="1651">
        <f t="shared" ref="L981:L1005" si="66">J981-G981</f>
        <v>244750</v>
      </c>
      <c r="M981" s="1652" t="s">
        <v>4232</v>
      </c>
      <c r="N981" s="1596" t="s">
        <v>3355</v>
      </c>
    </row>
    <row r="982" spans="1:14">
      <c r="A982" s="1526">
        <v>830</v>
      </c>
      <c r="B982" s="1731">
        <v>2</v>
      </c>
      <c r="C982" s="1915" t="s">
        <v>4233</v>
      </c>
      <c r="D982" s="1916" t="s">
        <v>4231</v>
      </c>
      <c r="E982" s="1916" t="s">
        <v>435</v>
      </c>
      <c r="F982" s="1560">
        <v>55</v>
      </c>
      <c r="G982" s="1560">
        <v>4895000</v>
      </c>
      <c r="H982" s="1560">
        <f t="shared" ref="H982:H1005" si="67">F982*G982</f>
        <v>269225000</v>
      </c>
      <c r="I982" s="1560">
        <v>55</v>
      </c>
      <c r="J982" s="1560">
        <v>5139750</v>
      </c>
      <c r="K982" s="1560">
        <f t="shared" si="65"/>
        <v>282686250</v>
      </c>
      <c r="L982" s="1603">
        <f t="shared" si="66"/>
        <v>244750</v>
      </c>
      <c r="M982" s="1560" t="s">
        <v>4232</v>
      </c>
      <c r="N982" s="1562" t="s">
        <v>3355</v>
      </c>
    </row>
    <row r="983" spans="1:14">
      <c r="A983" s="1526">
        <v>831</v>
      </c>
      <c r="B983" s="1731">
        <v>3</v>
      </c>
      <c r="C983" s="1915" t="s">
        <v>4234</v>
      </c>
      <c r="D983" s="1916" t="s">
        <v>4235</v>
      </c>
      <c r="E983" s="1916" t="s">
        <v>435</v>
      </c>
      <c r="F983" s="1560">
        <v>22</v>
      </c>
      <c r="G983" s="1560">
        <v>4400000</v>
      </c>
      <c r="H983" s="1560">
        <f t="shared" si="67"/>
        <v>96800000</v>
      </c>
      <c r="I983" s="1560">
        <v>22</v>
      </c>
      <c r="J983" s="1560">
        <v>4620000</v>
      </c>
      <c r="K983" s="1560">
        <f t="shared" si="65"/>
        <v>101640000</v>
      </c>
      <c r="L983" s="1603">
        <f t="shared" si="66"/>
        <v>220000</v>
      </c>
      <c r="M983" s="1560" t="s">
        <v>4232</v>
      </c>
      <c r="N983" s="1562" t="s">
        <v>3355</v>
      </c>
    </row>
    <row r="984" spans="1:14">
      <c r="A984" s="1526">
        <v>832</v>
      </c>
      <c r="B984" s="1731">
        <v>4</v>
      </c>
      <c r="C984" s="1915" t="s">
        <v>4236</v>
      </c>
      <c r="D984" s="1916" t="s">
        <v>4237</v>
      </c>
      <c r="E984" s="1916" t="s">
        <v>435</v>
      </c>
      <c r="F984" s="1560">
        <v>35</v>
      </c>
      <c r="G984" s="1560">
        <v>2640000</v>
      </c>
      <c r="H984" s="1560">
        <f t="shared" si="67"/>
        <v>92400000</v>
      </c>
      <c r="I984" s="1560">
        <v>35</v>
      </c>
      <c r="J984" s="1560">
        <v>2772000</v>
      </c>
      <c r="K984" s="1560">
        <f t="shared" si="65"/>
        <v>97020000</v>
      </c>
      <c r="L984" s="1603">
        <f t="shared" si="66"/>
        <v>132000</v>
      </c>
      <c r="M984" s="1560" t="s">
        <v>4232</v>
      </c>
      <c r="N984" s="1562" t="s">
        <v>3355</v>
      </c>
    </row>
    <row r="985" spans="1:14">
      <c r="A985" s="1526">
        <v>833</v>
      </c>
      <c r="B985" s="1731">
        <v>5</v>
      </c>
      <c r="C985" s="1915" t="s">
        <v>4238</v>
      </c>
      <c r="D985" s="1916" t="s">
        <v>4239</v>
      </c>
      <c r="E985" s="1916" t="s">
        <v>435</v>
      </c>
      <c r="F985" s="1560">
        <v>60</v>
      </c>
      <c r="G985" s="1560">
        <v>3080000.0000000005</v>
      </c>
      <c r="H985" s="1560">
        <f t="shared" si="67"/>
        <v>184800000.00000003</v>
      </c>
      <c r="I985" s="1560">
        <v>60</v>
      </c>
      <c r="J985" s="1560">
        <v>3234000.0000000005</v>
      </c>
      <c r="K985" s="1560">
        <f t="shared" si="65"/>
        <v>194040000.00000003</v>
      </c>
      <c r="L985" s="1603">
        <f t="shared" si="66"/>
        <v>154000</v>
      </c>
      <c r="M985" s="1560" t="s">
        <v>4240</v>
      </c>
      <c r="N985" s="1562" t="s">
        <v>3355</v>
      </c>
    </row>
    <row r="986" spans="1:14">
      <c r="A986" s="1526">
        <v>834</v>
      </c>
      <c r="B986" s="1731">
        <v>6</v>
      </c>
      <c r="C986" s="1915" t="s">
        <v>4241</v>
      </c>
      <c r="D986" s="1916" t="s">
        <v>4242</v>
      </c>
      <c r="E986" s="1916" t="s">
        <v>435</v>
      </c>
      <c r="F986" s="1560">
        <v>50</v>
      </c>
      <c r="G986" s="1560">
        <v>6215000.0000000009</v>
      </c>
      <c r="H986" s="1560">
        <f t="shared" si="67"/>
        <v>310750000.00000006</v>
      </c>
      <c r="I986" s="1560">
        <v>50</v>
      </c>
      <c r="J986" s="1560">
        <v>6525750.0000000009</v>
      </c>
      <c r="K986" s="1560">
        <f t="shared" si="65"/>
        <v>326287500.00000006</v>
      </c>
      <c r="L986" s="1603">
        <f t="shared" si="66"/>
        <v>310750</v>
      </c>
      <c r="M986" s="1560" t="s">
        <v>4232</v>
      </c>
      <c r="N986" s="1562" t="s">
        <v>3355</v>
      </c>
    </row>
    <row r="987" spans="1:14">
      <c r="A987" s="1526">
        <v>835</v>
      </c>
      <c r="B987" s="1731">
        <v>7</v>
      </c>
      <c r="C987" s="1915" t="s">
        <v>4243</v>
      </c>
      <c r="D987" s="1916" t="s">
        <v>4244</v>
      </c>
      <c r="E987" s="1916" t="s">
        <v>435</v>
      </c>
      <c r="F987" s="1560">
        <v>45</v>
      </c>
      <c r="G987" s="1560">
        <v>4675000</v>
      </c>
      <c r="H987" s="1560">
        <f t="shared" si="67"/>
        <v>210375000</v>
      </c>
      <c r="I987" s="1560">
        <v>45</v>
      </c>
      <c r="J987" s="1560">
        <v>4908750</v>
      </c>
      <c r="K987" s="1560">
        <f t="shared" si="65"/>
        <v>220893750</v>
      </c>
      <c r="L987" s="1603">
        <f t="shared" si="66"/>
        <v>233750</v>
      </c>
      <c r="M987" s="1560" t="s">
        <v>4232</v>
      </c>
      <c r="N987" s="1562" t="s">
        <v>3355</v>
      </c>
    </row>
    <row r="988" spans="1:14">
      <c r="A988" s="1526">
        <v>836</v>
      </c>
      <c r="B988" s="1731">
        <v>8</v>
      </c>
      <c r="C988" s="1915" t="s">
        <v>4245</v>
      </c>
      <c r="D988" s="1916" t="s">
        <v>4246</v>
      </c>
      <c r="E988" s="1916" t="s">
        <v>435</v>
      </c>
      <c r="F988" s="1560">
        <v>25</v>
      </c>
      <c r="G988" s="1560">
        <v>7865000.0000000009</v>
      </c>
      <c r="H988" s="1560">
        <f t="shared" si="67"/>
        <v>196625000.00000003</v>
      </c>
      <c r="I988" s="1560">
        <v>25</v>
      </c>
      <c r="J988" s="1560">
        <v>8258250.0000000009</v>
      </c>
      <c r="K988" s="1560">
        <f t="shared" si="65"/>
        <v>206456250.00000003</v>
      </c>
      <c r="L988" s="1603">
        <f t="shared" si="66"/>
        <v>393250</v>
      </c>
      <c r="M988" s="1560" t="s">
        <v>4240</v>
      </c>
      <c r="N988" s="1562" t="s">
        <v>3355</v>
      </c>
    </row>
    <row r="989" spans="1:14">
      <c r="A989" s="1526">
        <v>837</v>
      </c>
      <c r="B989" s="1731">
        <v>9</v>
      </c>
      <c r="C989" s="1915" t="s">
        <v>4247</v>
      </c>
      <c r="D989" s="1916" t="s">
        <v>4244</v>
      </c>
      <c r="E989" s="1916" t="s">
        <v>435</v>
      </c>
      <c r="F989" s="1560">
        <v>24</v>
      </c>
      <c r="G989" s="1560">
        <v>4407406.666666666</v>
      </c>
      <c r="H989" s="1560">
        <f t="shared" si="67"/>
        <v>105777759.99999999</v>
      </c>
      <c r="I989" s="1560">
        <v>24</v>
      </c>
      <c r="J989" s="1560">
        <v>4627777</v>
      </c>
      <c r="K989" s="1560">
        <f t="shared" si="65"/>
        <v>111066648</v>
      </c>
      <c r="L989" s="1603">
        <f t="shared" si="66"/>
        <v>220370.33333333395</v>
      </c>
      <c r="M989" s="1560" t="s">
        <v>4232</v>
      </c>
      <c r="N989" s="1562" t="s">
        <v>3355</v>
      </c>
    </row>
    <row r="990" spans="1:14">
      <c r="A990" s="1526">
        <v>838</v>
      </c>
      <c r="B990" s="1731">
        <v>10</v>
      </c>
      <c r="C990" s="1915" t="s">
        <v>4248</v>
      </c>
      <c r="D990" s="1916" t="s">
        <v>4244</v>
      </c>
      <c r="E990" s="1916" t="s">
        <v>435</v>
      </c>
      <c r="F990" s="1560">
        <v>24</v>
      </c>
      <c r="G990" s="1560">
        <v>4407406.666666666</v>
      </c>
      <c r="H990" s="1560">
        <f t="shared" si="67"/>
        <v>105777759.99999999</v>
      </c>
      <c r="I990" s="1560">
        <v>24</v>
      </c>
      <c r="J990" s="1560">
        <v>4627777</v>
      </c>
      <c r="K990" s="1560">
        <f t="shared" si="65"/>
        <v>111066648</v>
      </c>
      <c r="L990" s="1603">
        <f t="shared" si="66"/>
        <v>220370.33333333395</v>
      </c>
      <c r="M990" s="1560" t="s">
        <v>4232</v>
      </c>
      <c r="N990" s="1562" t="s">
        <v>3355</v>
      </c>
    </row>
    <row r="991" spans="1:14">
      <c r="A991" s="1526">
        <v>839</v>
      </c>
      <c r="B991" s="1731">
        <v>11</v>
      </c>
      <c r="C991" s="1917" t="s">
        <v>4249</v>
      </c>
      <c r="D991" s="1916" t="s">
        <v>4250</v>
      </c>
      <c r="E991" s="1916" t="s">
        <v>435</v>
      </c>
      <c r="F991" s="1560">
        <v>2</v>
      </c>
      <c r="G991" s="1560">
        <v>16846830</v>
      </c>
      <c r="H991" s="1560">
        <f t="shared" si="67"/>
        <v>33693660</v>
      </c>
      <c r="I991" s="1560">
        <v>2</v>
      </c>
      <c r="J991" s="1560">
        <v>17689171.5</v>
      </c>
      <c r="K991" s="1560">
        <f t="shared" si="65"/>
        <v>35378343</v>
      </c>
      <c r="L991" s="1603">
        <f t="shared" si="66"/>
        <v>842341.5</v>
      </c>
      <c r="M991" s="1560" t="s">
        <v>4251</v>
      </c>
      <c r="N991" s="1562" t="s">
        <v>3355</v>
      </c>
    </row>
    <row r="992" spans="1:14">
      <c r="A992" s="1526">
        <v>840</v>
      </c>
      <c r="B992" s="1731">
        <v>12</v>
      </c>
      <c r="C992" s="1917" t="s">
        <v>4252</v>
      </c>
      <c r="D992" s="1916"/>
      <c r="E992" s="1916" t="s">
        <v>435</v>
      </c>
      <c r="F992" s="1560">
        <v>1</v>
      </c>
      <c r="G992" s="1560">
        <v>8004150.0000000019</v>
      </c>
      <c r="H992" s="1560">
        <f t="shared" si="67"/>
        <v>8004150.0000000019</v>
      </c>
      <c r="I992" s="1560">
        <v>1</v>
      </c>
      <c r="J992" s="1560">
        <v>8404357.5000000019</v>
      </c>
      <c r="K992" s="1560">
        <f t="shared" si="65"/>
        <v>8404357.5000000019</v>
      </c>
      <c r="L992" s="1603">
        <f t="shared" si="66"/>
        <v>400207.5</v>
      </c>
      <c r="M992" s="1560" t="s">
        <v>4253</v>
      </c>
      <c r="N992" s="1562" t="s">
        <v>3355</v>
      </c>
    </row>
    <row r="993" spans="1:14">
      <c r="A993" s="1526">
        <v>841</v>
      </c>
      <c r="B993" s="1731">
        <v>13</v>
      </c>
      <c r="C993" s="1917" t="s">
        <v>4254</v>
      </c>
      <c r="D993" s="1916"/>
      <c r="E993" s="1916" t="s">
        <v>435</v>
      </c>
      <c r="F993" s="1560">
        <v>1</v>
      </c>
      <c r="G993" s="1560">
        <v>8004150.0000000019</v>
      </c>
      <c r="H993" s="1560">
        <f t="shared" si="67"/>
        <v>8004150.0000000019</v>
      </c>
      <c r="I993" s="1560">
        <v>1</v>
      </c>
      <c r="J993" s="1560">
        <v>8404357.5000000019</v>
      </c>
      <c r="K993" s="1560">
        <f t="shared" si="65"/>
        <v>8404357.5000000019</v>
      </c>
      <c r="L993" s="1603">
        <f t="shared" si="66"/>
        <v>400207.5</v>
      </c>
      <c r="M993" s="1560" t="s">
        <v>4253</v>
      </c>
      <c r="N993" s="1562" t="s">
        <v>3355</v>
      </c>
    </row>
    <row r="994" spans="1:14">
      <c r="A994" s="1526">
        <v>842</v>
      </c>
      <c r="B994" s="1731">
        <v>14</v>
      </c>
      <c r="C994" s="1917" t="s">
        <v>4255</v>
      </c>
      <c r="D994" s="1916"/>
      <c r="E994" s="1916" t="s">
        <v>435</v>
      </c>
      <c r="F994" s="1560">
        <v>1</v>
      </c>
      <c r="G994" s="1560">
        <v>7368900.0000000019</v>
      </c>
      <c r="H994" s="1560">
        <f t="shared" si="67"/>
        <v>7368900.0000000019</v>
      </c>
      <c r="I994" s="1560">
        <v>1</v>
      </c>
      <c r="J994" s="1560">
        <v>7737345.0000000019</v>
      </c>
      <c r="K994" s="1560">
        <f t="shared" si="65"/>
        <v>7737345.0000000019</v>
      </c>
      <c r="L994" s="1603">
        <f t="shared" si="66"/>
        <v>368445</v>
      </c>
      <c r="M994" s="1560" t="s">
        <v>4253</v>
      </c>
      <c r="N994" s="1562" t="s">
        <v>3355</v>
      </c>
    </row>
    <row r="995" spans="1:14">
      <c r="A995" s="1526">
        <v>843</v>
      </c>
      <c r="B995" s="1731">
        <v>15</v>
      </c>
      <c r="C995" s="1917" t="s">
        <v>4256</v>
      </c>
      <c r="D995" s="1916"/>
      <c r="E995" s="1916" t="s">
        <v>435</v>
      </c>
      <c r="F995" s="1560">
        <v>1</v>
      </c>
      <c r="G995" s="1560">
        <v>31457580.000000007</v>
      </c>
      <c r="H995" s="1560">
        <f t="shared" si="67"/>
        <v>31457580.000000007</v>
      </c>
      <c r="I995" s="1560">
        <v>1</v>
      </c>
      <c r="J995" s="1560">
        <v>33030459.000000007</v>
      </c>
      <c r="K995" s="1560">
        <f t="shared" si="65"/>
        <v>33030459.000000007</v>
      </c>
      <c r="L995" s="1603">
        <f t="shared" si="66"/>
        <v>1572879</v>
      </c>
      <c r="M995" s="1560" t="s">
        <v>4253</v>
      </c>
      <c r="N995" s="1562" t="s">
        <v>3355</v>
      </c>
    </row>
    <row r="996" spans="1:14">
      <c r="A996" s="1526">
        <v>844</v>
      </c>
      <c r="B996" s="1731">
        <v>16</v>
      </c>
      <c r="C996" s="1598" t="s">
        <v>4257</v>
      </c>
      <c r="D996" s="1918" t="s">
        <v>4258</v>
      </c>
      <c r="E996" s="1918" t="s">
        <v>435</v>
      </c>
      <c r="F996" s="1560">
        <v>60</v>
      </c>
      <c r="G996" s="1560">
        <v>5614350</v>
      </c>
      <c r="H996" s="1560">
        <f t="shared" si="67"/>
        <v>336861000</v>
      </c>
      <c r="I996" s="1560">
        <v>60</v>
      </c>
      <c r="J996" s="1560">
        <v>5895067.5</v>
      </c>
      <c r="K996" s="1560">
        <f t="shared" si="65"/>
        <v>353704050</v>
      </c>
      <c r="L996" s="1603">
        <f t="shared" si="66"/>
        <v>280717.5</v>
      </c>
      <c r="M996" s="1560" t="s">
        <v>4259</v>
      </c>
      <c r="N996" s="1562" t="s">
        <v>3355</v>
      </c>
    </row>
    <row r="997" spans="1:14">
      <c r="A997" s="1526">
        <v>845</v>
      </c>
      <c r="B997" s="1731">
        <v>17</v>
      </c>
      <c r="C997" s="1598" t="s">
        <v>4260</v>
      </c>
      <c r="D997" s="1918" t="s">
        <v>4261</v>
      </c>
      <c r="E997" s="1918" t="s">
        <v>435</v>
      </c>
      <c r="F997" s="1560">
        <v>30</v>
      </c>
      <c r="G997" s="1560">
        <v>8549100</v>
      </c>
      <c r="H997" s="1560">
        <f t="shared" si="67"/>
        <v>256473000</v>
      </c>
      <c r="I997" s="1560">
        <v>30</v>
      </c>
      <c r="J997" s="1560">
        <v>8976555</v>
      </c>
      <c r="K997" s="1560">
        <f t="shared" si="65"/>
        <v>269296650</v>
      </c>
      <c r="L997" s="1603">
        <f t="shared" si="66"/>
        <v>427455</v>
      </c>
      <c r="M997" s="1560" t="s">
        <v>4259</v>
      </c>
      <c r="N997" s="1562" t="s">
        <v>3355</v>
      </c>
    </row>
    <row r="998" spans="1:14" ht="36.75">
      <c r="A998" s="1526">
        <v>846</v>
      </c>
      <c r="B998" s="1731">
        <v>18</v>
      </c>
      <c r="C998" s="1598" t="s">
        <v>4262</v>
      </c>
      <c r="D998" s="1919" t="s">
        <v>4263</v>
      </c>
      <c r="E998" s="1918" t="s">
        <v>435</v>
      </c>
      <c r="F998" s="1560">
        <v>26</v>
      </c>
      <c r="G998" s="1560">
        <v>28344750</v>
      </c>
      <c r="H998" s="1560">
        <f t="shared" si="67"/>
        <v>736963500</v>
      </c>
      <c r="I998" s="1560">
        <v>26</v>
      </c>
      <c r="J998" s="1560">
        <v>29761987.5</v>
      </c>
      <c r="K998" s="1560">
        <f t="shared" si="65"/>
        <v>773811675</v>
      </c>
      <c r="L998" s="1603">
        <f t="shared" si="66"/>
        <v>1417237.5</v>
      </c>
      <c r="M998" s="1560" t="s">
        <v>4259</v>
      </c>
      <c r="N998" s="1562" t="s">
        <v>3355</v>
      </c>
    </row>
    <row r="999" spans="1:14" ht="36.75">
      <c r="A999" s="1526">
        <v>847</v>
      </c>
      <c r="B999" s="1731">
        <v>19</v>
      </c>
      <c r="C999" s="1598" t="s">
        <v>4264</v>
      </c>
      <c r="D999" s="1919" t="s">
        <v>4265</v>
      </c>
      <c r="E999" s="1918" t="s">
        <v>435</v>
      </c>
      <c r="F999" s="1560">
        <v>24</v>
      </c>
      <c r="G999" s="1560">
        <v>39705750</v>
      </c>
      <c r="H999" s="1560">
        <f t="shared" si="67"/>
        <v>952938000</v>
      </c>
      <c r="I999" s="1560">
        <v>24</v>
      </c>
      <c r="J999" s="1560">
        <v>41691037.5</v>
      </c>
      <c r="K999" s="1560">
        <f t="shared" si="65"/>
        <v>1000584900</v>
      </c>
      <c r="L999" s="1603">
        <f t="shared" si="66"/>
        <v>1985287.5</v>
      </c>
      <c r="M999" s="1560" t="s">
        <v>4259</v>
      </c>
      <c r="N999" s="1562" t="s">
        <v>3355</v>
      </c>
    </row>
    <row r="1000" spans="1:14">
      <c r="A1000" s="1526">
        <v>848</v>
      </c>
      <c r="B1000" s="1731">
        <v>20</v>
      </c>
      <c r="C1000" s="1598" t="s">
        <v>4266</v>
      </c>
      <c r="D1000" s="1918" t="s">
        <v>4267</v>
      </c>
      <c r="E1000" s="1918" t="s">
        <v>435</v>
      </c>
      <c r="F1000" s="1560">
        <v>4</v>
      </c>
      <c r="G1000" s="1560">
        <v>8846200</v>
      </c>
      <c r="H1000" s="1560">
        <f t="shared" si="67"/>
        <v>35384800</v>
      </c>
      <c r="I1000" s="1560">
        <v>4</v>
      </c>
      <c r="J1000" s="1560">
        <v>9288510</v>
      </c>
      <c r="K1000" s="1560">
        <f t="shared" si="65"/>
        <v>37154040</v>
      </c>
      <c r="L1000" s="1603">
        <f t="shared" si="66"/>
        <v>442310</v>
      </c>
      <c r="M1000" s="1560" t="s">
        <v>4259</v>
      </c>
      <c r="N1000" s="1562" t="s">
        <v>3355</v>
      </c>
    </row>
    <row r="1001" spans="1:14">
      <c r="A1001" s="1526">
        <v>849</v>
      </c>
      <c r="B1001" s="1731">
        <v>21</v>
      </c>
      <c r="C1001" s="1598" t="s">
        <v>4268</v>
      </c>
      <c r="D1001" s="1918" t="s">
        <v>4269</v>
      </c>
      <c r="E1001" s="1918" t="s">
        <v>435</v>
      </c>
      <c r="F1001" s="1560">
        <v>2</v>
      </c>
      <c r="G1001" s="1560">
        <v>8846200</v>
      </c>
      <c r="H1001" s="1560">
        <f t="shared" si="67"/>
        <v>17692400</v>
      </c>
      <c r="I1001" s="1560">
        <v>2</v>
      </c>
      <c r="J1001" s="1560">
        <v>9288510</v>
      </c>
      <c r="K1001" s="1560">
        <f t="shared" si="65"/>
        <v>18577020</v>
      </c>
      <c r="L1001" s="1603">
        <f t="shared" si="66"/>
        <v>442310</v>
      </c>
      <c r="M1001" s="1560" t="s">
        <v>4259</v>
      </c>
      <c r="N1001" s="1562" t="s">
        <v>3355</v>
      </c>
    </row>
    <row r="1002" spans="1:14">
      <c r="A1002" s="1526">
        <v>850</v>
      </c>
      <c r="B1002" s="1731">
        <v>22</v>
      </c>
      <c r="C1002" s="1598" t="s">
        <v>4270</v>
      </c>
      <c r="D1002" s="1918" t="s">
        <v>4271</v>
      </c>
      <c r="E1002" s="1918" t="s">
        <v>435</v>
      </c>
      <c r="F1002" s="1560">
        <v>12</v>
      </c>
      <c r="G1002" s="1560">
        <v>5067300</v>
      </c>
      <c r="H1002" s="1560">
        <f t="shared" si="67"/>
        <v>60807600</v>
      </c>
      <c r="I1002" s="1560">
        <v>12</v>
      </c>
      <c r="J1002" s="1560">
        <v>5320665</v>
      </c>
      <c r="K1002" s="1560">
        <f t="shared" si="65"/>
        <v>63847980</v>
      </c>
      <c r="L1002" s="1603">
        <f t="shared" si="66"/>
        <v>253365</v>
      </c>
      <c r="M1002" s="1560" t="s">
        <v>4259</v>
      </c>
      <c r="N1002" s="1562" t="s">
        <v>3355</v>
      </c>
    </row>
    <row r="1003" spans="1:14">
      <c r="A1003" s="1526">
        <v>851</v>
      </c>
      <c r="B1003" s="1731">
        <v>23</v>
      </c>
      <c r="C1003" s="1598" t="s">
        <v>4272</v>
      </c>
      <c r="D1003" s="1918" t="s">
        <v>4271</v>
      </c>
      <c r="E1003" s="1918" t="s">
        <v>435</v>
      </c>
      <c r="F1003" s="1560">
        <v>12</v>
      </c>
      <c r="G1003" s="1560">
        <v>5843250</v>
      </c>
      <c r="H1003" s="1560">
        <f t="shared" si="67"/>
        <v>70119000</v>
      </c>
      <c r="I1003" s="1560">
        <v>12</v>
      </c>
      <c r="J1003" s="1560">
        <v>6135412.5</v>
      </c>
      <c r="K1003" s="1560">
        <f t="shared" si="65"/>
        <v>73624950</v>
      </c>
      <c r="L1003" s="1603">
        <f t="shared" si="66"/>
        <v>292162.5</v>
      </c>
      <c r="M1003" s="1560" t="s">
        <v>4259</v>
      </c>
      <c r="N1003" s="1562" t="s">
        <v>3355</v>
      </c>
    </row>
    <row r="1004" spans="1:14">
      <c r="A1004" s="1526">
        <v>852</v>
      </c>
      <c r="B1004" s="1731">
        <v>24</v>
      </c>
      <c r="C1004" s="1598" t="s">
        <v>4273</v>
      </c>
      <c r="D1004" s="1918" t="s">
        <v>4271</v>
      </c>
      <c r="E1004" s="1918" t="s">
        <v>435</v>
      </c>
      <c r="F1004" s="1560">
        <v>12</v>
      </c>
      <c r="G1004" s="1560">
        <v>5067300</v>
      </c>
      <c r="H1004" s="1560">
        <f t="shared" si="67"/>
        <v>60807600</v>
      </c>
      <c r="I1004" s="1560">
        <v>12</v>
      </c>
      <c r="J1004" s="1560">
        <v>5320665</v>
      </c>
      <c r="K1004" s="1560">
        <f t="shared" si="65"/>
        <v>63847980</v>
      </c>
      <c r="L1004" s="1603">
        <f t="shared" si="66"/>
        <v>253365</v>
      </c>
      <c r="M1004" s="1560" t="s">
        <v>4259</v>
      </c>
      <c r="N1004" s="1562" t="s">
        <v>3355</v>
      </c>
    </row>
    <row r="1005" spans="1:14" ht="27.75">
      <c r="A1005" s="1540">
        <v>853</v>
      </c>
      <c r="B1005" s="1920">
        <v>25</v>
      </c>
      <c r="C1005" s="1921" t="s">
        <v>4274</v>
      </c>
      <c r="D1005" s="1922" t="s">
        <v>4275</v>
      </c>
      <c r="E1005" s="1920" t="s">
        <v>4276</v>
      </c>
      <c r="F1005" s="1630">
        <v>1000</v>
      </c>
      <c r="G1005" s="1630">
        <v>968000</v>
      </c>
      <c r="H1005" s="1630">
        <f t="shared" si="67"/>
        <v>968000000</v>
      </c>
      <c r="I1005" s="1630">
        <v>1000</v>
      </c>
      <c r="J1005" s="1630">
        <v>1016400</v>
      </c>
      <c r="K1005" s="1630">
        <f t="shared" si="65"/>
        <v>1016400000</v>
      </c>
      <c r="L1005" s="1665">
        <f t="shared" si="66"/>
        <v>48400</v>
      </c>
      <c r="M1005" s="1630" t="s">
        <v>4240</v>
      </c>
      <c r="N1005" s="1631" t="s">
        <v>3355</v>
      </c>
    </row>
    <row r="1006" spans="1:14">
      <c r="A1006" s="1501"/>
      <c r="B1006" s="1546"/>
      <c r="C1006" s="1722" t="s">
        <v>958</v>
      </c>
      <c r="D1006" s="1536"/>
      <c r="E1006" s="1536"/>
      <c r="F1006" s="1738"/>
      <c r="G1006" s="1738"/>
      <c r="H1006" s="1726">
        <f>SUM(H981:H1005)</f>
        <v>5646605860</v>
      </c>
      <c r="I1006" s="1548"/>
      <c r="J1006" s="1584"/>
      <c r="K1006" s="1726">
        <f>SUM(K981:K1005)</f>
        <v>5928936153</v>
      </c>
      <c r="L1006" s="1726"/>
      <c r="M1006" s="1510"/>
      <c r="N1006" s="1511"/>
    </row>
    <row r="1007" spans="1:14">
      <c r="A1007" s="1512"/>
      <c r="B1007" s="1550"/>
      <c r="C1007" s="1911"/>
      <c r="D1007" s="1515"/>
      <c r="E1007" s="1515"/>
      <c r="F1007" s="1589"/>
      <c r="G1007" s="1589"/>
      <c r="H1007" s="1589"/>
      <c r="I1007" s="1517"/>
      <c r="J1007" s="1923"/>
      <c r="K1007" s="1586"/>
      <c r="L1007" s="1586"/>
    </row>
    <row r="1008" spans="1:14">
      <c r="A1008" s="1512"/>
      <c r="B1008" s="1550"/>
      <c r="C1008" s="1911"/>
      <c r="D1008" s="1515"/>
      <c r="E1008" s="1515"/>
      <c r="F1008" s="1589"/>
      <c r="G1008" s="1589"/>
      <c r="H1008" s="1589"/>
      <c r="I1008" s="1517"/>
      <c r="J1008" s="1586"/>
      <c r="K1008" s="1586"/>
      <c r="L1008" s="1586"/>
    </row>
    <row r="1009" spans="1:14">
      <c r="A1009" s="1512"/>
      <c r="B1009" s="1550"/>
      <c r="C1009" s="1911"/>
      <c r="D1009" s="1515"/>
      <c r="E1009" s="1515"/>
      <c r="F1009" s="1589"/>
      <c r="G1009" s="1589"/>
      <c r="H1009" s="1589"/>
      <c r="I1009" s="1517"/>
      <c r="J1009" s="1586"/>
      <c r="K1009" s="1672"/>
      <c r="L1009" s="1672"/>
    </row>
    <row r="1010" spans="1:14" s="1741" customFormat="1">
      <c r="A1010" s="1743"/>
      <c r="B1010" s="1744"/>
      <c r="C1010" s="1924" t="s">
        <v>4277</v>
      </c>
      <c r="D1010" s="1924"/>
      <c r="E1010" s="1924"/>
      <c r="F1010" s="1925"/>
      <c r="G1010" s="1925"/>
      <c r="H1010" s="1925"/>
      <c r="I1010" s="1925"/>
      <c r="J1010" s="1925"/>
      <c r="K1010" s="1925"/>
      <c r="L1010" s="1925"/>
      <c r="N1010" s="1742"/>
    </row>
    <row r="1011" spans="1:14" s="1741" customFormat="1">
      <c r="A1011" s="1743"/>
      <c r="B1011" s="1744"/>
      <c r="C1011" s="1926"/>
      <c r="D1011" s="1746"/>
      <c r="E1011" s="1746"/>
      <c r="F1011" s="1747"/>
      <c r="G1011" s="1747"/>
      <c r="H1011" s="1747"/>
      <c r="I1011" s="1927"/>
      <c r="J1011" s="1928"/>
      <c r="K1011" s="1929"/>
      <c r="L1011" s="1929"/>
      <c r="N1011" s="1742"/>
    </row>
    <row r="1012" spans="1:14" s="1741" customFormat="1">
      <c r="A1012" s="2220" t="s">
        <v>2901</v>
      </c>
      <c r="B1012" s="2222" t="s">
        <v>2902</v>
      </c>
      <c r="C1012" s="2222" t="s">
        <v>2607</v>
      </c>
      <c r="D1012" s="2226" t="s">
        <v>2608</v>
      </c>
      <c r="E1012" s="2222" t="s">
        <v>2609</v>
      </c>
      <c r="F1012" s="1930"/>
      <c r="G1012" s="1930"/>
      <c r="H1012" s="1930"/>
      <c r="I1012" s="2228" t="s">
        <v>2904</v>
      </c>
      <c r="J1012" s="2229"/>
      <c r="K1012" s="2230"/>
      <c r="L1012" s="1929"/>
      <c r="N1012" s="1742"/>
    </row>
    <row r="1013" spans="1:14" s="1741" customFormat="1">
      <c r="A1013" s="2221"/>
      <c r="B1013" s="2223"/>
      <c r="C1013" s="2223"/>
      <c r="D1013" s="2227"/>
      <c r="E1013" s="2223"/>
      <c r="F1013" s="1931"/>
      <c r="G1013" s="1931"/>
      <c r="H1013" s="1931"/>
      <c r="I1013" s="1757" t="s">
        <v>2908</v>
      </c>
      <c r="J1013" s="1755" t="s">
        <v>2611</v>
      </c>
      <c r="K1013" s="1755" t="s">
        <v>2612</v>
      </c>
      <c r="L1013" s="1929"/>
      <c r="N1013" s="1742"/>
    </row>
    <row r="1014" spans="1:14" s="1741" customFormat="1">
      <c r="A1014" s="1932">
        <v>854</v>
      </c>
      <c r="B1014" s="1933">
        <v>1</v>
      </c>
      <c r="C1014" s="1934" t="s">
        <v>4278</v>
      </c>
      <c r="D1014" s="1935" t="s">
        <v>4279</v>
      </c>
      <c r="E1014" s="1936" t="s">
        <v>4032</v>
      </c>
      <c r="F1014" s="1937"/>
      <c r="G1014" s="1937"/>
      <c r="H1014" s="1937"/>
      <c r="I1014" s="1938">
        <v>120</v>
      </c>
      <c r="J1014" s="1939">
        <v>2354000</v>
      </c>
      <c r="K1014" s="1767">
        <f t="shared" ref="K1014:K1021" si="68">I1014*J1014</f>
        <v>282480000</v>
      </c>
      <c r="L1014" s="1940"/>
      <c r="N1014" s="1742"/>
    </row>
    <row r="1015" spans="1:14" s="1741" customFormat="1">
      <c r="A1015" s="1941">
        <v>855</v>
      </c>
      <c r="B1015" s="1795">
        <v>2</v>
      </c>
      <c r="C1015" s="1771" t="s">
        <v>4280</v>
      </c>
      <c r="D1015" s="1942" t="s">
        <v>4281</v>
      </c>
      <c r="E1015" s="1943" t="s">
        <v>4106</v>
      </c>
      <c r="F1015" s="1944"/>
      <c r="G1015" s="1944"/>
      <c r="H1015" s="1944"/>
      <c r="I1015" s="1945">
        <v>60</v>
      </c>
      <c r="J1015" s="1939">
        <v>3135000</v>
      </c>
      <c r="K1015" s="1767">
        <f t="shared" si="68"/>
        <v>188100000</v>
      </c>
      <c r="L1015" s="1940"/>
      <c r="N1015" s="1742"/>
    </row>
    <row r="1016" spans="1:14" s="1741" customFormat="1">
      <c r="A1016" s="1932">
        <v>856</v>
      </c>
      <c r="B1016" s="1933">
        <v>3</v>
      </c>
      <c r="C1016" s="1771" t="s">
        <v>4282</v>
      </c>
      <c r="D1016" s="1942" t="s">
        <v>4281</v>
      </c>
      <c r="E1016" s="1943" t="s">
        <v>4106</v>
      </c>
      <c r="F1016" s="1944"/>
      <c r="G1016" s="1944"/>
      <c r="H1016" s="1944"/>
      <c r="I1016" s="1945">
        <v>60</v>
      </c>
      <c r="J1016" s="1939">
        <v>1463000</v>
      </c>
      <c r="K1016" s="1767">
        <f t="shared" si="68"/>
        <v>87780000</v>
      </c>
      <c r="L1016" s="1940"/>
      <c r="N1016" s="1742"/>
    </row>
    <row r="1017" spans="1:14" s="1741" customFormat="1">
      <c r="A1017" s="1941">
        <v>857</v>
      </c>
      <c r="B1017" s="1795">
        <v>4</v>
      </c>
      <c r="C1017" s="1771" t="s">
        <v>4283</v>
      </c>
      <c r="D1017" s="1942" t="s">
        <v>4284</v>
      </c>
      <c r="E1017" s="1943" t="s">
        <v>4106</v>
      </c>
      <c r="F1017" s="1944"/>
      <c r="G1017" s="1944"/>
      <c r="H1017" s="1944"/>
      <c r="I1017" s="1945">
        <v>60</v>
      </c>
      <c r="J1017" s="1939">
        <v>1199000</v>
      </c>
      <c r="K1017" s="1767">
        <f t="shared" si="68"/>
        <v>71940000</v>
      </c>
      <c r="L1017" s="1940"/>
      <c r="N1017" s="1742"/>
    </row>
    <row r="1018" spans="1:14" s="1741" customFormat="1">
      <c r="A1018" s="1932">
        <v>858</v>
      </c>
      <c r="B1018" s="1933">
        <v>5</v>
      </c>
      <c r="C1018" s="1771" t="s">
        <v>4285</v>
      </c>
      <c r="D1018" s="1942" t="s">
        <v>4286</v>
      </c>
      <c r="E1018" s="1943" t="s">
        <v>4287</v>
      </c>
      <c r="F1018" s="1944"/>
      <c r="G1018" s="1944"/>
      <c r="H1018" s="1944"/>
      <c r="I1018" s="1945">
        <v>35</v>
      </c>
      <c r="J1018" s="1939">
        <v>2772000</v>
      </c>
      <c r="K1018" s="1767">
        <f t="shared" si="68"/>
        <v>97020000</v>
      </c>
      <c r="L1018" s="1940"/>
      <c r="N1018" s="1742"/>
    </row>
    <row r="1019" spans="1:14" s="1741" customFormat="1" ht="18.75">
      <c r="A1019" s="1941">
        <v>859</v>
      </c>
      <c r="B1019" s="1795">
        <v>6</v>
      </c>
      <c r="C1019" s="1771" t="s">
        <v>4288</v>
      </c>
      <c r="D1019" s="1942" t="s">
        <v>4289</v>
      </c>
      <c r="E1019" s="1943" t="s">
        <v>435</v>
      </c>
      <c r="F1019" s="1944"/>
      <c r="G1019" s="1944"/>
      <c r="H1019" s="1944"/>
      <c r="I1019" s="1945">
        <v>1</v>
      </c>
      <c r="J1019" s="1939">
        <v>3245000</v>
      </c>
      <c r="K1019" s="1767">
        <f t="shared" si="68"/>
        <v>3245000</v>
      </c>
      <c r="L1019" s="1940"/>
      <c r="N1019" s="1742"/>
    </row>
    <row r="1020" spans="1:14" s="1741" customFormat="1" ht="54.75">
      <c r="A1020" s="1932">
        <v>860</v>
      </c>
      <c r="B1020" s="1933">
        <v>7</v>
      </c>
      <c r="C1020" s="1771" t="s">
        <v>4290</v>
      </c>
      <c r="D1020" s="1946" t="s">
        <v>4291</v>
      </c>
      <c r="E1020" s="1947" t="s">
        <v>435</v>
      </c>
      <c r="F1020" s="1948"/>
      <c r="G1020" s="1948"/>
      <c r="H1020" s="1948"/>
      <c r="I1020" s="1949">
        <v>12</v>
      </c>
      <c r="J1020" s="1939">
        <v>6182000</v>
      </c>
      <c r="K1020" s="1767">
        <f t="shared" si="68"/>
        <v>74184000</v>
      </c>
      <c r="L1020" s="1940"/>
      <c r="N1020" s="1742"/>
    </row>
    <row r="1021" spans="1:14" s="1741" customFormat="1" ht="18.75">
      <c r="A1021" s="1941">
        <v>861</v>
      </c>
      <c r="B1021" s="1795">
        <v>8</v>
      </c>
      <c r="C1021" s="1950" t="s">
        <v>4292</v>
      </c>
      <c r="D1021" s="1951" t="s">
        <v>4293</v>
      </c>
      <c r="E1021" s="1952" t="s">
        <v>435</v>
      </c>
      <c r="F1021" s="1953"/>
      <c r="G1021" s="1953"/>
      <c r="H1021" s="1953"/>
      <c r="I1021" s="1954">
        <v>5</v>
      </c>
      <c r="J1021" s="1955">
        <v>5104000</v>
      </c>
      <c r="K1021" s="1767">
        <f t="shared" si="68"/>
        <v>25520000</v>
      </c>
      <c r="L1021" s="1940"/>
      <c r="N1021" s="1742"/>
    </row>
    <row r="1022" spans="1:14" s="1741" customFormat="1">
      <c r="A1022" s="1784"/>
      <c r="B1022" s="1785"/>
      <c r="C1022" s="1956" t="s">
        <v>958</v>
      </c>
      <c r="D1022" s="1787"/>
      <c r="E1022" s="1787"/>
      <c r="F1022" s="1788"/>
      <c r="G1022" s="1788"/>
      <c r="H1022" s="1788"/>
      <c r="I1022" s="1957"/>
      <c r="J1022" s="1958"/>
      <c r="K1022" s="1959">
        <f>SUM(K1014:K1021)</f>
        <v>830269000</v>
      </c>
      <c r="L1022" s="1960"/>
      <c r="N1022" s="1742"/>
    </row>
    <row r="1023" spans="1:14">
      <c r="A1023" s="1512"/>
      <c r="B1023" s="1550"/>
      <c r="C1023" s="1911"/>
      <c r="D1023" s="1515"/>
      <c r="E1023" s="1515"/>
      <c r="F1023" s="1589"/>
      <c r="G1023" s="1589"/>
      <c r="H1023" s="1589"/>
      <c r="I1023" s="1517"/>
      <c r="J1023" s="1586"/>
      <c r="K1023" s="1585"/>
      <c r="L1023" s="1585"/>
    </row>
    <row r="1024" spans="1:14">
      <c r="A1024" s="1512"/>
      <c r="B1024" s="1550"/>
      <c r="C1024" s="1911"/>
      <c r="D1024" s="1515"/>
      <c r="E1024" s="1515"/>
      <c r="F1024" s="1589"/>
      <c r="G1024" s="1589"/>
      <c r="H1024" s="1589"/>
      <c r="I1024" s="1517"/>
      <c r="J1024" s="1586"/>
      <c r="K1024" s="1585"/>
      <c r="L1024" s="1585"/>
    </row>
    <row r="1025" spans="1:14">
      <c r="A1025" s="1961"/>
      <c r="B1025" s="1962"/>
      <c r="C1025" s="1963" t="s">
        <v>4294</v>
      </c>
      <c r="D1025" s="1963"/>
      <c r="E1025" s="1963"/>
      <c r="F1025" s="1964"/>
      <c r="G1025" s="1964"/>
      <c r="H1025" s="1964"/>
      <c r="I1025" s="1964"/>
      <c r="J1025" s="1964"/>
      <c r="K1025" s="1964"/>
      <c r="L1025" s="1964"/>
    </row>
    <row r="1026" spans="1:14">
      <c r="A1026" s="1512"/>
      <c r="B1026" s="1550"/>
      <c r="C1026" s="1911"/>
      <c r="D1026" s="1515"/>
      <c r="E1026" s="1515"/>
      <c r="F1026" s="1589"/>
      <c r="G1026" s="1589"/>
      <c r="H1026" s="1589"/>
      <c r="I1026" s="1517"/>
      <c r="J1026" s="1586"/>
      <c r="K1026" s="1672"/>
      <c r="L1026" s="1672"/>
    </row>
    <row r="1027" spans="1:14" ht="27">
      <c r="A1027" s="2197" t="s">
        <v>2901</v>
      </c>
      <c r="B1027" s="2199" t="s">
        <v>2902</v>
      </c>
      <c r="C1027" s="2199" t="s">
        <v>2607</v>
      </c>
      <c r="D1027" s="2203" t="s">
        <v>2608</v>
      </c>
      <c r="E1027" s="2199" t="s">
        <v>2609</v>
      </c>
      <c r="F1027" s="2205" t="s">
        <v>2903</v>
      </c>
      <c r="G1027" s="2206"/>
      <c r="H1027" s="2207"/>
      <c r="I1027" s="2205" t="s">
        <v>2904</v>
      </c>
      <c r="J1027" s="2206"/>
      <c r="K1027" s="2207"/>
      <c r="L1027" s="1476" t="s">
        <v>2905</v>
      </c>
      <c r="M1027" s="2197" t="s">
        <v>2906</v>
      </c>
      <c r="N1027" s="2208" t="s">
        <v>2907</v>
      </c>
    </row>
    <row r="1028" spans="1:14">
      <c r="A1028" s="2198"/>
      <c r="B1028" s="2200"/>
      <c r="C1028" s="2218"/>
      <c r="D1028" s="2238"/>
      <c r="E1028" s="2218"/>
      <c r="F1028" s="1477" t="s">
        <v>2908</v>
      </c>
      <c r="G1028" s="1476" t="s">
        <v>2611</v>
      </c>
      <c r="H1028" s="1478" t="s">
        <v>2612</v>
      </c>
      <c r="I1028" s="1477" t="s">
        <v>2908</v>
      </c>
      <c r="J1028" s="1476" t="s">
        <v>2611</v>
      </c>
      <c r="K1028" s="1478" t="s">
        <v>2612</v>
      </c>
      <c r="L1028" s="1865"/>
      <c r="M1028" s="2198"/>
      <c r="N1028" s="2209"/>
    </row>
    <row r="1029" spans="1:14">
      <c r="A1029" s="1491">
        <v>862</v>
      </c>
      <c r="B1029" s="1965">
        <v>1</v>
      </c>
      <c r="C1029" s="1966" t="s">
        <v>4295</v>
      </c>
      <c r="D1029" s="1967" t="s">
        <v>4296</v>
      </c>
      <c r="E1029" s="1581" t="s">
        <v>435</v>
      </c>
      <c r="F1029" s="1581">
        <v>50</v>
      </c>
      <c r="G1029" s="1581">
        <v>3193000</v>
      </c>
      <c r="H1029" s="1581">
        <f>F1029*G1029</f>
        <v>159650000</v>
      </c>
      <c r="I1029" s="1581">
        <v>50</v>
      </c>
      <c r="J1029" s="1581">
        <v>3352650</v>
      </c>
      <c r="K1029" s="1581">
        <f>I1029*J1029</f>
        <v>167632500</v>
      </c>
      <c r="L1029" s="1581">
        <f t="shared" ref="L1029:L1092" si="69">J1029-G1029</f>
        <v>159650</v>
      </c>
      <c r="M1029" s="1581" t="s">
        <v>3354</v>
      </c>
      <c r="N1029" s="1582" t="s">
        <v>3355</v>
      </c>
    </row>
    <row r="1030" spans="1:14">
      <c r="A1030" s="1968">
        <v>863</v>
      </c>
      <c r="B1030" s="1563">
        <v>2</v>
      </c>
      <c r="C1030" s="1487" t="s">
        <v>4297</v>
      </c>
      <c r="D1030" s="1491" t="s">
        <v>4298</v>
      </c>
      <c r="E1030" s="1581" t="s">
        <v>435</v>
      </c>
      <c r="F1030" s="1581">
        <v>20</v>
      </c>
      <c r="G1030" s="1581">
        <v>9021000</v>
      </c>
      <c r="H1030" s="1581">
        <f t="shared" ref="H1030:H1093" si="70">F1030*G1030</f>
        <v>180420000</v>
      </c>
      <c r="I1030" s="1581">
        <v>20</v>
      </c>
      <c r="J1030" s="1581">
        <v>9472050</v>
      </c>
      <c r="K1030" s="1581">
        <f t="shared" ref="K1030:K1093" si="71">I1030*J1030</f>
        <v>189441000</v>
      </c>
      <c r="L1030" s="1581">
        <f t="shared" si="69"/>
        <v>451050</v>
      </c>
      <c r="M1030" s="1581" t="s">
        <v>3354</v>
      </c>
      <c r="N1030" s="1582" t="s">
        <v>3355</v>
      </c>
    </row>
    <row r="1031" spans="1:14">
      <c r="A1031" s="1491">
        <v>864</v>
      </c>
      <c r="B1031" s="1965">
        <v>3</v>
      </c>
      <c r="C1031" s="1487" t="s">
        <v>4299</v>
      </c>
      <c r="D1031" s="1491" t="s">
        <v>4300</v>
      </c>
      <c r="E1031" s="1581" t="s">
        <v>435</v>
      </c>
      <c r="F1031" s="1581">
        <v>100</v>
      </c>
      <c r="G1031" s="1581">
        <v>2636000</v>
      </c>
      <c r="H1031" s="1581">
        <f t="shared" si="70"/>
        <v>263600000</v>
      </c>
      <c r="I1031" s="1581">
        <v>100</v>
      </c>
      <c r="J1031" s="1581">
        <v>2767800</v>
      </c>
      <c r="K1031" s="1581">
        <f t="shared" si="71"/>
        <v>276780000</v>
      </c>
      <c r="L1031" s="1581">
        <f t="shared" si="69"/>
        <v>131800</v>
      </c>
      <c r="M1031" s="1581" t="s">
        <v>3354</v>
      </c>
      <c r="N1031" s="1582" t="s">
        <v>3355</v>
      </c>
    </row>
    <row r="1032" spans="1:14">
      <c r="A1032" s="1968">
        <v>865</v>
      </c>
      <c r="B1032" s="1563">
        <v>4</v>
      </c>
      <c r="C1032" s="1487" t="s">
        <v>4301</v>
      </c>
      <c r="D1032" s="1491" t="s">
        <v>4302</v>
      </c>
      <c r="E1032" s="1581" t="s">
        <v>435</v>
      </c>
      <c r="F1032" s="1581">
        <v>30</v>
      </c>
      <c r="G1032" s="1581">
        <v>3898000</v>
      </c>
      <c r="H1032" s="1581">
        <f t="shared" si="70"/>
        <v>116940000</v>
      </c>
      <c r="I1032" s="1581">
        <v>30</v>
      </c>
      <c r="J1032" s="1581">
        <v>4092900</v>
      </c>
      <c r="K1032" s="1581">
        <f t="shared" si="71"/>
        <v>122787000</v>
      </c>
      <c r="L1032" s="1581">
        <f t="shared" si="69"/>
        <v>194900</v>
      </c>
      <c r="M1032" s="1581" t="s">
        <v>3354</v>
      </c>
      <c r="N1032" s="1582" t="s">
        <v>3355</v>
      </c>
    </row>
    <row r="1033" spans="1:14">
      <c r="A1033" s="1491">
        <v>866</v>
      </c>
      <c r="B1033" s="1965">
        <v>5</v>
      </c>
      <c r="C1033" s="1487" t="s">
        <v>4303</v>
      </c>
      <c r="D1033" s="1491" t="s">
        <v>4304</v>
      </c>
      <c r="E1033" s="1581" t="s">
        <v>435</v>
      </c>
      <c r="F1033" s="1581">
        <v>10</v>
      </c>
      <c r="G1033" s="1581">
        <v>2302000</v>
      </c>
      <c r="H1033" s="1581">
        <f t="shared" si="70"/>
        <v>23020000</v>
      </c>
      <c r="I1033" s="1581">
        <v>10</v>
      </c>
      <c r="J1033" s="1581">
        <v>2417100</v>
      </c>
      <c r="K1033" s="1581">
        <f t="shared" si="71"/>
        <v>24171000</v>
      </c>
      <c r="L1033" s="1581">
        <f t="shared" si="69"/>
        <v>115100</v>
      </c>
      <c r="M1033" s="1581" t="s">
        <v>3354</v>
      </c>
      <c r="N1033" s="1582" t="s">
        <v>3355</v>
      </c>
    </row>
    <row r="1034" spans="1:14">
      <c r="A1034" s="1968">
        <v>867</v>
      </c>
      <c r="B1034" s="1563">
        <v>6</v>
      </c>
      <c r="C1034" s="1487" t="s">
        <v>4305</v>
      </c>
      <c r="D1034" s="1491" t="s">
        <v>4306</v>
      </c>
      <c r="E1034" s="1581" t="s">
        <v>435</v>
      </c>
      <c r="F1034" s="1581">
        <v>1</v>
      </c>
      <c r="G1034" s="1581">
        <v>2079000</v>
      </c>
      <c r="H1034" s="1581">
        <f t="shared" si="70"/>
        <v>2079000</v>
      </c>
      <c r="I1034" s="1581">
        <v>1</v>
      </c>
      <c r="J1034" s="1581">
        <v>2182950</v>
      </c>
      <c r="K1034" s="1581">
        <f t="shared" si="71"/>
        <v>2182950</v>
      </c>
      <c r="L1034" s="1581">
        <f t="shared" si="69"/>
        <v>103950</v>
      </c>
      <c r="M1034" s="1581" t="s">
        <v>3354</v>
      </c>
      <c r="N1034" s="1582" t="s">
        <v>3355</v>
      </c>
    </row>
    <row r="1035" spans="1:14">
      <c r="A1035" s="1491">
        <v>868</v>
      </c>
      <c r="B1035" s="1965">
        <v>7</v>
      </c>
      <c r="C1035" s="1487" t="s">
        <v>4307</v>
      </c>
      <c r="D1035" s="1491" t="s">
        <v>4308</v>
      </c>
      <c r="E1035" s="1581" t="s">
        <v>435</v>
      </c>
      <c r="F1035" s="1581">
        <v>1</v>
      </c>
      <c r="G1035" s="1581">
        <v>2005000</v>
      </c>
      <c r="H1035" s="1581">
        <f t="shared" si="70"/>
        <v>2005000</v>
      </c>
      <c r="I1035" s="1581">
        <v>1</v>
      </c>
      <c r="J1035" s="1581">
        <v>2105250</v>
      </c>
      <c r="K1035" s="1581">
        <f t="shared" si="71"/>
        <v>2105250</v>
      </c>
      <c r="L1035" s="1581">
        <f t="shared" si="69"/>
        <v>100250</v>
      </c>
      <c r="M1035" s="1581" t="s">
        <v>3354</v>
      </c>
      <c r="N1035" s="1582" t="s">
        <v>3355</v>
      </c>
    </row>
    <row r="1036" spans="1:14">
      <c r="A1036" s="1968">
        <v>869</v>
      </c>
      <c r="B1036" s="1563">
        <v>8</v>
      </c>
      <c r="C1036" s="1487" t="s">
        <v>4309</v>
      </c>
      <c r="D1036" s="1491" t="s">
        <v>4310</v>
      </c>
      <c r="E1036" s="1581" t="s">
        <v>435</v>
      </c>
      <c r="F1036" s="1581">
        <v>5</v>
      </c>
      <c r="G1036" s="1581">
        <v>4529000</v>
      </c>
      <c r="H1036" s="1581">
        <f t="shared" si="70"/>
        <v>22645000</v>
      </c>
      <c r="I1036" s="1581">
        <v>5</v>
      </c>
      <c r="J1036" s="1581">
        <v>4755450</v>
      </c>
      <c r="K1036" s="1581">
        <f t="shared" si="71"/>
        <v>23777250</v>
      </c>
      <c r="L1036" s="1581">
        <f t="shared" si="69"/>
        <v>226450</v>
      </c>
      <c r="M1036" s="1581" t="s">
        <v>3354</v>
      </c>
      <c r="N1036" s="1582" t="s">
        <v>3355</v>
      </c>
    </row>
    <row r="1037" spans="1:14">
      <c r="A1037" s="1491">
        <v>870</v>
      </c>
      <c r="B1037" s="1965">
        <v>9</v>
      </c>
      <c r="C1037" s="1487" t="s">
        <v>4311</v>
      </c>
      <c r="D1037" s="1491">
        <v>50</v>
      </c>
      <c r="E1037" s="1581" t="s">
        <v>435</v>
      </c>
      <c r="F1037" s="1581">
        <v>1</v>
      </c>
      <c r="G1037" s="1581">
        <v>3861000</v>
      </c>
      <c r="H1037" s="1581">
        <f t="shared" si="70"/>
        <v>3861000</v>
      </c>
      <c r="I1037" s="1581">
        <v>1</v>
      </c>
      <c r="J1037" s="1581">
        <v>4054050</v>
      </c>
      <c r="K1037" s="1581">
        <f t="shared" si="71"/>
        <v>4054050</v>
      </c>
      <c r="L1037" s="1581">
        <f t="shared" si="69"/>
        <v>193050</v>
      </c>
      <c r="M1037" s="1581" t="s">
        <v>3354</v>
      </c>
      <c r="N1037" s="1582" t="s">
        <v>3355</v>
      </c>
    </row>
    <row r="1038" spans="1:14">
      <c r="A1038" s="1968">
        <v>871</v>
      </c>
      <c r="B1038" s="1563">
        <v>10</v>
      </c>
      <c r="C1038" s="1487" t="s">
        <v>4312</v>
      </c>
      <c r="D1038" s="1491">
        <v>50</v>
      </c>
      <c r="E1038" s="1581" t="s">
        <v>435</v>
      </c>
      <c r="F1038" s="1581">
        <v>1</v>
      </c>
      <c r="G1038" s="1581">
        <v>3217000</v>
      </c>
      <c r="H1038" s="1581">
        <f t="shared" si="70"/>
        <v>3217000</v>
      </c>
      <c r="I1038" s="1581">
        <v>1</v>
      </c>
      <c r="J1038" s="1581">
        <v>3377850</v>
      </c>
      <c r="K1038" s="1581">
        <f t="shared" si="71"/>
        <v>3377850</v>
      </c>
      <c r="L1038" s="1581">
        <f t="shared" si="69"/>
        <v>160850</v>
      </c>
      <c r="M1038" s="1581" t="s">
        <v>3354</v>
      </c>
      <c r="N1038" s="1582" t="s">
        <v>3355</v>
      </c>
    </row>
    <row r="1039" spans="1:14">
      <c r="A1039" s="1491">
        <v>872</v>
      </c>
      <c r="B1039" s="1965">
        <v>11</v>
      </c>
      <c r="C1039" s="1487" t="s">
        <v>4313</v>
      </c>
      <c r="D1039" s="1491">
        <v>100</v>
      </c>
      <c r="E1039" s="1581" t="s">
        <v>435</v>
      </c>
      <c r="F1039" s="1581">
        <v>1</v>
      </c>
      <c r="G1039" s="1581">
        <v>7721000</v>
      </c>
      <c r="H1039" s="1581">
        <f t="shared" si="70"/>
        <v>7721000</v>
      </c>
      <c r="I1039" s="1581">
        <v>1</v>
      </c>
      <c r="J1039" s="1581">
        <v>8107050</v>
      </c>
      <c r="K1039" s="1581">
        <f t="shared" si="71"/>
        <v>8107050</v>
      </c>
      <c r="L1039" s="1581">
        <f t="shared" si="69"/>
        <v>386050</v>
      </c>
      <c r="M1039" s="1581" t="s">
        <v>3354</v>
      </c>
      <c r="N1039" s="1582" t="s">
        <v>3355</v>
      </c>
    </row>
    <row r="1040" spans="1:14">
      <c r="A1040" s="1968">
        <v>873</v>
      </c>
      <c r="B1040" s="1563">
        <v>12</v>
      </c>
      <c r="C1040" s="1487" t="s">
        <v>4314</v>
      </c>
      <c r="D1040" s="1491">
        <v>100</v>
      </c>
      <c r="E1040" s="1581" t="s">
        <v>435</v>
      </c>
      <c r="F1040" s="1581">
        <v>1</v>
      </c>
      <c r="G1040" s="1581">
        <v>6434000</v>
      </c>
      <c r="H1040" s="1581">
        <f t="shared" si="70"/>
        <v>6434000</v>
      </c>
      <c r="I1040" s="1581">
        <v>1</v>
      </c>
      <c r="J1040" s="1581">
        <v>6755700</v>
      </c>
      <c r="K1040" s="1581">
        <f t="shared" si="71"/>
        <v>6755700</v>
      </c>
      <c r="L1040" s="1581">
        <f t="shared" si="69"/>
        <v>321700</v>
      </c>
      <c r="M1040" s="1581" t="s">
        <v>3354</v>
      </c>
      <c r="N1040" s="1582" t="s">
        <v>3355</v>
      </c>
    </row>
    <row r="1041" spans="1:14">
      <c r="A1041" s="1491">
        <v>874</v>
      </c>
      <c r="B1041" s="1965">
        <v>13</v>
      </c>
      <c r="C1041" s="1487" t="s">
        <v>4315</v>
      </c>
      <c r="D1041" s="1491">
        <v>100</v>
      </c>
      <c r="E1041" s="1581" t="s">
        <v>435</v>
      </c>
      <c r="F1041" s="1581">
        <v>1</v>
      </c>
      <c r="G1041" s="1581">
        <v>7399000</v>
      </c>
      <c r="H1041" s="1581">
        <f t="shared" si="70"/>
        <v>7399000</v>
      </c>
      <c r="I1041" s="1581">
        <v>1</v>
      </c>
      <c r="J1041" s="1581">
        <v>7768950</v>
      </c>
      <c r="K1041" s="1581">
        <f t="shared" si="71"/>
        <v>7768950</v>
      </c>
      <c r="L1041" s="1581">
        <f t="shared" si="69"/>
        <v>369950</v>
      </c>
      <c r="M1041" s="1581" t="s">
        <v>3354</v>
      </c>
      <c r="N1041" s="1582" t="s">
        <v>3355</v>
      </c>
    </row>
    <row r="1042" spans="1:14">
      <c r="A1042" s="1968">
        <v>875</v>
      </c>
      <c r="B1042" s="1563">
        <v>14</v>
      </c>
      <c r="C1042" s="1487" t="s">
        <v>4316</v>
      </c>
      <c r="D1042" s="1491">
        <v>100</v>
      </c>
      <c r="E1042" s="1581" t="s">
        <v>435</v>
      </c>
      <c r="F1042" s="1581">
        <v>10</v>
      </c>
      <c r="G1042" s="1581">
        <v>6756000</v>
      </c>
      <c r="H1042" s="1581">
        <f t="shared" si="70"/>
        <v>67560000</v>
      </c>
      <c r="I1042" s="1581">
        <v>10</v>
      </c>
      <c r="J1042" s="1581">
        <v>7093800</v>
      </c>
      <c r="K1042" s="1581">
        <f t="shared" si="71"/>
        <v>70938000</v>
      </c>
      <c r="L1042" s="1581">
        <f t="shared" si="69"/>
        <v>337800</v>
      </c>
      <c r="M1042" s="1581" t="s">
        <v>3354</v>
      </c>
      <c r="N1042" s="1582" t="s">
        <v>3355</v>
      </c>
    </row>
    <row r="1043" spans="1:14">
      <c r="A1043" s="1491">
        <v>876</v>
      </c>
      <c r="B1043" s="1965">
        <v>15</v>
      </c>
      <c r="C1043" s="1487" t="s">
        <v>4317</v>
      </c>
      <c r="D1043" s="1491">
        <v>100</v>
      </c>
      <c r="E1043" s="1581" t="s">
        <v>435</v>
      </c>
      <c r="F1043" s="1581">
        <v>22</v>
      </c>
      <c r="G1043" s="1581">
        <v>36993000</v>
      </c>
      <c r="H1043" s="1581">
        <f t="shared" si="70"/>
        <v>813846000</v>
      </c>
      <c r="I1043" s="1581">
        <v>22</v>
      </c>
      <c r="J1043" s="1581">
        <v>38842650</v>
      </c>
      <c r="K1043" s="1581">
        <f t="shared" si="71"/>
        <v>854538300</v>
      </c>
      <c r="L1043" s="1581">
        <f t="shared" si="69"/>
        <v>1849650</v>
      </c>
      <c r="M1043" s="1581" t="s">
        <v>3354</v>
      </c>
      <c r="N1043" s="1582" t="s">
        <v>3355</v>
      </c>
    </row>
    <row r="1044" spans="1:14">
      <c r="A1044" s="1968">
        <v>877</v>
      </c>
      <c r="B1044" s="1563">
        <v>16</v>
      </c>
      <c r="C1044" s="1487" t="s">
        <v>4318</v>
      </c>
      <c r="D1044" s="1491">
        <v>100</v>
      </c>
      <c r="E1044" s="1581" t="s">
        <v>435</v>
      </c>
      <c r="F1044" s="1581">
        <v>22</v>
      </c>
      <c r="G1044" s="1581">
        <v>9007000</v>
      </c>
      <c r="H1044" s="1581">
        <f t="shared" si="70"/>
        <v>198154000</v>
      </c>
      <c r="I1044" s="1581">
        <v>22</v>
      </c>
      <c r="J1044" s="1581">
        <v>9457350</v>
      </c>
      <c r="K1044" s="1581">
        <f t="shared" si="71"/>
        <v>208061700</v>
      </c>
      <c r="L1044" s="1581">
        <f t="shared" si="69"/>
        <v>450350</v>
      </c>
      <c r="M1044" s="1581" t="s">
        <v>3354</v>
      </c>
      <c r="N1044" s="1582" t="s">
        <v>3355</v>
      </c>
    </row>
    <row r="1045" spans="1:14">
      <c r="A1045" s="1491">
        <v>878</v>
      </c>
      <c r="B1045" s="1965">
        <v>17</v>
      </c>
      <c r="C1045" s="1487" t="s">
        <v>4319</v>
      </c>
      <c r="D1045" s="1491">
        <v>100</v>
      </c>
      <c r="E1045" s="1581" t="s">
        <v>435</v>
      </c>
      <c r="F1045" s="1581">
        <v>1</v>
      </c>
      <c r="G1045" s="1581">
        <v>6434000</v>
      </c>
      <c r="H1045" s="1581">
        <f t="shared" si="70"/>
        <v>6434000</v>
      </c>
      <c r="I1045" s="1581">
        <v>1</v>
      </c>
      <c r="J1045" s="1581">
        <v>6755700</v>
      </c>
      <c r="K1045" s="1581">
        <f t="shared" si="71"/>
        <v>6755700</v>
      </c>
      <c r="L1045" s="1581">
        <f t="shared" si="69"/>
        <v>321700</v>
      </c>
      <c r="M1045" s="1581" t="s">
        <v>3354</v>
      </c>
      <c r="N1045" s="1582" t="s">
        <v>3355</v>
      </c>
    </row>
    <row r="1046" spans="1:14">
      <c r="A1046" s="1968">
        <v>879</v>
      </c>
      <c r="B1046" s="1563">
        <v>18</v>
      </c>
      <c r="C1046" s="1487" t="s">
        <v>4320</v>
      </c>
      <c r="D1046" s="1491">
        <v>100</v>
      </c>
      <c r="E1046" s="1581" t="s">
        <v>435</v>
      </c>
      <c r="F1046" s="1581">
        <v>5</v>
      </c>
      <c r="G1046" s="1581">
        <v>11581000</v>
      </c>
      <c r="H1046" s="1581">
        <f t="shared" si="70"/>
        <v>57905000</v>
      </c>
      <c r="I1046" s="1581">
        <v>5</v>
      </c>
      <c r="J1046" s="1581">
        <v>12160050</v>
      </c>
      <c r="K1046" s="1581">
        <f t="shared" si="71"/>
        <v>60800250</v>
      </c>
      <c r="L1046" s="1581">
        <f t="shared" si="69"/>
        <v>579050</v>
      </c>
      <c r="M1046" s="1581" t="s">
        <v>3354</v>
      </c>
      <c r="N1046" s="1582" t="s">
        <v>3355</v>
      </c>
    </row>
    <row r="1047" spans="1:14">
      <c r="A1047" s="1491">
        <v>880</v>
      </c>
      <c r="B1047" s="1965">
        <v>19</v>
      </c>
      <c r="C1047" s="1487" t="s">
        <v>4321</v>
      </c>
      <c r="D1047" s="1491">
        <v>50</v>
      </c>
      <c r="E1047" s="1581" t="s">
        <v>435</v>
      </c>
      <c r="F1047" s="1581">
        <v>1</v>
      </c>
      <c r="G1047" s="1581">
        <v>2574000</v>
      </c>
      <c r="H1047" s="1581">
        <f t="shared" si="70"/>
        <v>2574000</v>
      </c>
      <c r="I1047" s="1581">
        <v>1</v>
      </c>
      <c r="J1047" s="1581">
        <v>2702700</v>
      </c>
      <c r="K1047" s="1581">
        <f t="shared" si="71"/>
        <v>2702700</v>
      </c>
      <c r="L1047" s="1581">
        <f t="shared" si="69"/>
        <v>128700</v>
      </c>
      <c r="M1047" s="1581" t="s">
        <v>3354</v>
      </c>
      <c r="N1047" s="1582" t="s">
        <v>3355</v>
      </c>
    </row>
    <row r="1048" spans="1:14">
      <c r="A1048" s="1968">
        <v>881</v>
      </c>
      <c r="B1048" s="1563">
        <v>20</v>
      </c>
      <c r="C1048" s="1487" t="s">
        <v>4322</v>
      </c>
      <c r="D1048" s="1491">
        <v>100</v>
      </c>
      <c r="E1048" s="1581" t="s">
        <v>435</v>
      </c>
      <c r="F1048" s="1581">
        <v>15</v>
      </c>
      <c r="G1048" s="1581">
        <v>5212000</v>
      </c>
      <c r="H1048" s="1581">
        <f t="shared" si="70"/>
        <v>78180000</v>
      </c>
      <c r="I1048" s="1581">
        <v>15</v>
      </c>
      <c r="J1048" s="1581">
        <v>5472600</v>
      </c>
      <c r="K1048" s="1581">
        <f t="shared" si="71"/>
        <v>82089000</v>
      </c>
      <c r="L1048" s="1581">
        <f t="shared" si="69"/>
        <v>260600</v>
      </c>
      <c r="M1048" s="1581" t="s">
        <v>3354</v>
      </c>
      <c r="N1048" s="1582" t="s">
        <v>3355</v>
      </c>
    </row>
    <row r="1049" spans="1:14">
      <c r="A1049" s="1491">
        <v>882</v>
      </c>
      <c r="B1049" s="1965">
        <v>21</v>
      </c>
      <c r="C1049" s="1487" t="s">
        <v>4323</v>
      </c>
      <c r="D1049" s="1491">
        <v>50</v>
      </c>
      <c r="E1049" s="1581" t="s">
        <v>435</v>
      </c>
      <c r="F1049" s="1581">
        <v>1</v>
      </c>
      <c r="G1049" s="1581">
        <v>6434000</v>
      </c>
      <c r="H1049" s="1581">
        <f t="shared" si="70"/>
        <v>6434000</v>
      </c>
      <c r="I1049" s="1581">
        <v>1</v>
      </c>
      <c r="J1049" s="1581">
        <v>6755700</v>
      </c>
      <c r="K1049" s="1581">
        <f t="shared" si="71"/>
        <v>6755700</v>
      </c>
      <c r="L1049" s="1581">
        <f t="shared" si="69"/>
        <v>321700</v>
      </c>
      <c r="M1049" s="1581" t="s">
        <v>3354</v>
      </c>
      <c r="N1049" s="1582" t="s">
        <v>3355</v>
      </c>
    </row>
    <row r="1050" spans="1:14">
      <c r="A1050" s="1968">
        <v>883</v>
      </c>
      <c r="B1050" s="1563">
        <v>22</v>
      </c>
      <c r="C1050" s="1487" t="s">
        <v>4324</v>
      </c>
      <c r="D1050" s="1491">
        <v>100</v>
      </c>
      <c r="E1050" s="1581" t="s">
        <v>435</v>
      </c>
      <c r="F1050" s="1581">
        <v>15</v>
      </c>
      <c r="G1050" s="1581">
        <v>5147000</v>
      </c>
      <c r="H1050" s="1581">
        <f t="shared" si="70"/>
        <v>77205000</v>
      </c>
      <c r="I1050" s="1581">
        <v>15</v>
      </c>
      <c r="J1050" s="1581">
        <v>5404350</v>
      </c>
      <c r="K1050" s="1581">
        <f t="shared" si="71"/>
        <v>81065250</v>
      </c>
      <c r="L1050" s="1581">
        <f t="shared" si="69"/>
        <v>257350</v>
      </c>
      <c r="M1050" s="1581" t="s">
        <v>3354</v>
      </c>
      <c r="N1050" s="1582" t="s">
        <v>3355</v>
      </c>
    </row>
    <row r="1051" spans="1:14">
      <c r="A1051" s="1491">
        <v>884</v>
      </c>
      <c r="B1051" s="1965">
        <v>23</v>
      </c>
      <c r="C1051" s="1487" t="s">
        <v>4325</v>
      </c>
      <c r="D1051" s="1491">
        <v>100</v>
      </c>
      <c r="E1051" s="1581" t="s">
        <v>435</v>
      </c>
      <c r="F1051" s="1581">
        <v>20</v>
      </c>
      <c r="G1051" s="1581">
        <v>10712000</v>
      </c>
      <c r="H1051" s="1581">
        <f t="shared" si="70"/>
        <v>214240000</v>
      </c>
      <c r="I1051" s="1581">
        <v>20</v>
      </c>
      <c r="J1051" s="1581">
        <v>11247600</v>
      </c>
      <c r="K1051" s="1581">
        <f t="shared" si="71"/>
        <v>224952000</v>
      </c>
      <c r="L1051" s="1581">
        <f t="shared" si="69"/>
        <v>535600</v>
      </c>
      <c r="M1051" s="1581" t="s">
        <v>3354</v>
      </c>
      <c r="N1051" s="1582" t="s">
        <v>3355</v>
      </c>
    </row>
    <row r="1052" spans="1:14">
      <c r="A1052" s="1968">
        <v>885</v>
      </c>
      <c r="B1052" s="1563">
        <v>24</v>
      </c>
      <c r="C1052" s="1487" t="s">
        <v>4326</v>
      </c>
      <c r="D1052" s="1491">
        <v>100</v>
      </c>
      <c r="E1052" s="1581" t="s">
        <v>435</v>
      </c>
      <c r="F1052" s="1581">
        <v>20</v>
      </c>
      <c r="G1052" s="1581">
        <v>10680000</v>
      </c>
      <c r="H1052" s="1581">
        <f t="shared" si="70"/>
        <v>213600000</v>
      </c>
      <c r="I1052" s="1581">
        <v>20</v>
      </c>
      <c r="J1052" s="1581">
        <v>11214000</v>
      </c>
      <c r="K1052" s="1581">
        <f t="shared" si="71"/>
        <v>224280000</v>
      </c>
      <c r="L1052" s="1581">
        <f t="shared" si="69"/>
        <v>534000</v>
      </c>
      <c r="M1052" s="1581" t="s">
        <v>3354</v>
      </c>
      <c r="N1052" s="1582" t="s">
        <v>3355</v>
      </c>
    </row>
    <row r="1053" spans="1:14">
      <c r="A1053" s="1491">
        <v>886</v>
      </c>
      <c r="B1053" s="1965">
        <v>25</v>
      </c>
      <c r="C1053" s="1487" t="s">
        <v>4327</v>
      </c>
      <c r="D1053" s="1491">
        <v>50</v>
      </c>
      <c r="E1053" s="1581" t="s">
        <v>435</v>
      </c>
      <c r="F1053" s="1581">
        <v>3</v>
      </c>
      <c r="G1053" s="1581">
        <v>5791000</v>
      </c>
      <c r="H1053" s="1581">
        <f t="shared" si="70"/>
        <v>17373000</v>
      </c>
      <c r="I1053" s="1581">
        <v>3</v>
      </c>
      <c r="J1053" s="1581">
        <v>6080550</v>
      </c>
      <c r="K1053" s="1581">
        <f t="shared" si="71"/>
        <v>18241650</v>
      </c>
      <c r="L1053" s="1581">
        <f t="shared" si="69"/>
        <v>289550</v>
      </c>
      <c r="M1053" s="1581" t="s">
        <v>3354</v>
      </c>
      <c r="N1053" s="1582" t="s">
        <v>3355</v>
      </c>
    </row>
    <row r="1054" spans="1:14">
      <c r="A1054" s="1968">
        <v>887</v>
      </c>
      <c r="B1054" s="1563">
        <v>26</v>
      </c>
      <c r="C1054" s="1487" t="s">
        <v>4328</v>
      </c>
      <c r="D1054" s="1491">
        <v>50</v>
      </c>
      <c r="E1054" s="1581" t="s">
        <v>435</v>
      </c>
      <c r="F1054" s="1581">
        <v>2</v>
      </c>
      <c r="G1054" s="1581">
        <v>48252000</v>
      </c>
      <c r="H1054" s="1581">
        <f t="shared" si="70"/>
        <v>96504000</v>
      </c>
      <c r="I1054" s="1581">
        <v>2</v>
      </c>
      <c r="J1054" s="1581">
        <v>50664600</v>
      </c>
      <c r="K1054" s="1581">
        <f t="shared" si="71"/>
        <v>101329200</v>
      </c>
      <c r="L1054" s="1581">
        <f t="shared" si="69"/>
        <v>2412600</v>
      </c>
      <c r="M1054" s="1581" t="s">
        <v>3354</v>
      </c>
      <c r="N1054" s="1582" t="s">
        <v>3355</v>
      </c>
    </row>
    <row r="1055" spans="1:14">
      <c r="A1055" s="1491">
        <v>888</v>
      </c>
      <c r="B1055" s="1965">
        <v>27</v>
      </c>
      <c r="C1055" s="1487" t="s">
        <v>4329</v>
      </c>
      <c r="D1055" s="1491">
        <v>100</v>
      </c>
      <c r="E1055" s="1581" t="s">
        <v>435</v>
      </c>
      <c r="F1055" s="1581">
        <v>1</v>
      </c>
      <c r="G1055" s="1581">
        <v>9651000</v>
      </c>
      <c r="H1055" s="1581">
        <f t="shared" si="70"/>
        <v>9651000</v>
      </c>
      <c r="I1055" s="1581">
        <v>1</v>
      </c>
      <c r="J1055" s="1581">
        <v>10133550</v>
      </c>
      <c r="K1055" s="1581">
        <f t="shared" si="71"/>
        <v>10133550</v>
      </c>
      <c r="L1055" s="1581">
        <f t="shared" si="69"/>
        <v>482550</v>
      </c>
      <c r="M1055" s="1581" t="s">
        <v>3354</v>
      </c>
      <c r="N1055" s="1582" t="s">
        <v>3355</v>
      </c>
    </row>
    <row r="1056" spans="1:14">
      <c r="A1056" s="1968">
        <v>889</v>
      </c>
      <c r="B1056" s="1563">
        <v>28</v>
      </c>
      <c r="C1056" s="1487" t="s">
        <v>4330</v>
      </c>
      <c r="D1056" s="1491">
        <v>50</v>
      </c>
      <c r="E1056" s="1581" t="s">
        <v>435</v>
      </c>
      <c r="F1056" s="1581">
        <v>1</v>
      </c>
      <c r="G1056" s="1581">
        <v>3700000</v>
      </c>
      <c r="H1056" s="1581">
        <f t="shared" si="70"/>
        <v>3700000</v>
      </c>
      <c r="I1056" s="1581">
        <v>1</v>
      </c>
      <c r="J1056" s="1581">
        <v>3885000</v>
      </c>
      <c r="K1056" s="1581">
        <f t="shared" si="71"/>
        <v>3885000</v>
      </c>
      <c r="L1056" s="1581">
        <f t="shared" si="69"/>
        <v>185000</v>
      </c>
      <c r="M1056" s="1581" t="s">
        <v>3354</v>
      </c>
      <c r="N1056" s="1582" t="s">
        <v>3355</v>
      </c>
    </row>
    <row r="1057" spans="1:14">
      <c r="A1057" s="1491">
        <v>890</v>
      </c>
      <c r="B1057" s="1965">
        <v>29</v>
      </c>
      <c r="C1057" s="1487" t="s">
        <v>4331</v>
      </c>
      <c r="D1057" s="1491">
        <v>100</v>
      </c>
      <c r="E1057" s="1581" t="s">
        <v>435</v>
      </c>
      <c r="F1057" s="1581">
        <v>10</v>
      </c>
      <c r="G1057" s="1581">
        <v>8686000</v>
      </c>
      <c r="H1057" s="1581">
        <f t="shared" si="70"/>
        <v>86860000</v>
      </c>
      <c r="I1057" s="1581">
        <v>10</v>
      </c>
      <c r="J1057" s="1581">
        <v>9120300</v>
      </c>
      <c r="K1057" s="1581">
        <f t="shared" si="71"/>
        <v>91203000</v>
      </c>
      <c r="L1057" s="1581">
        <f t="shared" si="69"/>
        <v>434300</v>
      </c>
      <c r="M1057" s="1581" t="s">
        <v>3354</v>
      </c>
      <c r="N1057" s="1582" t="s">
        <v>3355</v>
      </c>
    </row>
    <row r="1058" spans="1:14">
      <c r="A1058" s="1968">
        <v>891</v>
      </c>
      <c r="B1058" s="1563">
        <v>30</v>
      </c>
      <c r="C1058" s="1487" t="s">
        <v>4332</v>
      </c>
      <c r="D1058" s="1491">
        <v>100</v>
      </c>
      <c r="E1058" s="1581" t="s">
        <v>435</v>
      </c>
      <c r="F1058" s="1581">
        <v>2</v>
      </c>
      <c r="G1058" s="1581">
        <v>5630000</v>
      </c>
      <c r="H1058" s="1581">
        <f t="shared" si="70"/>
        <v>11260000</v>
      </c>
      <c r="I1058" s="1581">
        <v>2</v>
      </c>
      <c r="J1058" s="1581">
        <v>5911500</v>
      </c>
      <c r="K1058" s="1581">
        <f t="shared" si="71"/>
        <v>11823000</v>
      </c>
      <c r="L1058" s="1581">
        <f t="shared" si="69"/>
        <v>281500</v>
      </c>
      <c r="M1058" s="1581" t="s">
        <v>3354</v>
      </c>
      <c r="N1058" s="1582" t="s">
        <v>3355</v>
      </c>
    </row>
    <row r="1059" spans="1:14">
      <c r="A1059" s="1491">
        <v>892</v>
      </c>
      <c r="B1059" s="1965">
        <v>31</v>
      </c>
      <c r="C1059" s="1487" t="s">
        <v>4333</v>
      </c>
      <c r="D1059" s="1491">
        <v>60</v>
      </c>
      <c r="E1059" s="1581" t="s">
        <v>435</v>
      </c>
      <c r="F1059" s="1581">
        <v>2</v>
      </c>
      <c r="G1059" s="1581">
        <v>3378000</v>
      </c>
      <c r="H1059" s="1581">
        <f t="shared" si="70"/>
        <v>6756000</v>
      </c>
      <c r="I1059" s="1581">
        <v>2</v>
      </c>
      <c r="J1059" s="1581">
        <v>3546900</v>
      </c>
      <c r="K1059" s="1581">
        <f t="shared" si="71"/>
        <v>7093800</v>
      </c>
      <c r="L1059" s="1581">
        <f t="shared" si="69"/>
        <v>168900</v>
      </c>
      <c r="M1059" s="1581" t="s">
        <v>3354</v>
      </c>
      <c r="N1059" s="1582" t="s">
        <v>3355</v>
      </c>
    </row>
    <row r="1060" spans="1:14">
      <c r="A1060" s="1968">
        <v>893</v>
      </c>
      <c r="B1060" s="1563">
        <v>32</v>
      </c>
      <c r="C1060" s="1487" t="s">
        <v>4334</v>
      </c>
      <c r="D1060" s="1491">
        <v>100</v>
      </c>
      <c r="E1060" s="1581" t="s">
        <v>435</v>
      </c>
      <c r="F1060" s="1581">
        <v>2</v>
      </c>
      <c r="G1060" s="1581">
        <v>5630000</v>
      </c>
      <c r="H1060" s="1581">
        <f t="shared" si="70"/>
        <v>11260000</v>
      </c>
      <c r="I1060" s="1581">
        <v>2</v>
      </c>
      <c r="J1060" s="1581">
        <v>5911500</v>
      </c>
      <c r="K1060" s="1581">
        <f t="shared" si="71"/>
        <v>11823000</v>
      </c>
      <c r="L1060" s="1581">
        <f t="shared" si="69"/>
        <v>281500</v>
      </c>
      <c r="M1060" s="1581" t="s">
        <v>3354</v>
      </c>
      <c r="N1060" s="1582" t="s">
        <v>3355</v>
      </c>
    </row>
    <row r="1061" spans="1:14">
      <c r="A1061" s="1491">
        <v>894</v>
      </c>
      <c r="B1061" s="1965">
        <v>33</v>
      </c>
      <c r="C1061" s="1487" t="s">
        <v>4335</v>
      </c>
      <c r="D1061" s="1491">
        <v>50</v>
      </c>
      <c r="E1061" s="1581" t="s">
        <v>435</v>
      </c>
      <c r="F1061" s="1581">
        <v>2</v>
      </c>
      <c r="G1061" s="1581">
        <v>2831000</v>
      </c>
      <c r="H1061" s="1581">
        <f t="shared" si="70"/>
        <v>5662000</v>
      </c>
      <c r="I1061" s="1581">
        <v>2</v>
      </c>
      <c r="J1061" s="1581">
        <v>2972550</v>
      </c>
      <c r="K1061" s="1581">
        <f t="shared" si="71"/>
        <v>5945100</v>
      </c>
      <c r="L1061" s="1581">
        <f t="shared" si="69"/>
        <v>141550</v>
      </c>
      <c r="M1061" s="1581" t="s">
        <v>3354</v>
      </c>
      <c r="N1061" s="1582" t="s">
        <v>3355</v>
      </c>
    </row>
    <row r="1062" spans="1:14">
      <c r="A1062" s="1968">
        <v>895</v>
      </c>
      <c r="B1062" s="1563">
        <v>34</v>
      </c>
      <c r="C1062" s="1487" t="s">
        <v>4336</v>
      </c>
      <c r="D1062" s="1491">
        <v>50</v>
      </c>
      <c r="E1062" s="1581" t="s">
        <v>435</v>
      </c>
      <c r="F1062" s="1581">
        <v>2</v>
      </c>
      <c r="G1062" s="1581">
        <v>2831000</v>
      </c>
      <c r="H1062" s="1581">
        <f t="shared" si="70"/>
        <v>5662000</v>
      </c>
      <c r="I1062" s="1581">
        <v>2</v>
      </c>
      <c r="J1062" s="1581">
        <v>2972550</v>
      </c>
      <c r="K1062" s="1581">
        <f t="shared" si="71"/>
        <v>5945100</v>
      </c>
      <c r="L1062" s="1581">
        <f t="shared" si="69"/>
        <v>141550</v>
      </c>
      <c r="M1062" s="1581" t="s">
        <v>3354</v>
      </c>
      <c r="N1062" s="1582" t="s">
        <v>3355</v>
      </c>
    </row>
    <row r="1063" spans="1:14">
      <c r="A1063" s="1491">
        <v>896</v>
      </c>
      <c r="B1063" s="1965">
        <v>35</v>
      </c>
      <c r="C1063" s="1487" t="s">
        <v>4337</v>
      </c>
      <c r="D1063" s="1491">
        <v>50</v>
      </c>
      <c r="E1063" s="1581" t="s">
        <v>435</v>
      </c>
      <c r="F1063" s="1581">
        <v>6</v>
      </c>
      <c r="G1063" s="1581">
        <v>2831000</v>
      </c>
      <c r="H1063" s="1581">
        <f t="shared" si="70"/>
        <v>16986000</v>
      </c>
      <c r="I1063" s="1581">
        <v>6</v>
      </c>
      <c r="J1063" s="1581">
        <v>2972550</v>
      </c>
      <c r="K1063" s="1581">
        <f t="shared" si="71"/>
        <v>17835300</v>
      </c>
      <c r="L1063" s="1581">
        <f t="shared" si="69"/>
        <v>141550</v>
      </c>
      <c r="M1063" s="1581" t="s">
        <v>3354</v>
      </c>
      <c r="N1063" s="1582" t="s">
        <v>3355</v>
      </c>
    </row>
    <row r="1064" spans="1:14">
      <c r="A1064" s="1968">
        <v>897</v>
      </c>
      <c r="B1064" s="1563">
        <v>36</v>
      </c>
      <c r="C1064" s="1487" t="s">
        <v>4338</v>
      </c>
      <c r="D1064" s="1491">
        <v>50</v>
      </c>
      <c r="E1064" s="1581" t="s">
        <v>435</v>
      </c>
      <c r="F1064" s="1581">
        <v>2</v>
      </c>
      <c r="G1064" s="1581">
        <v>2831000</v>
      </c>
      <c r="H1064" s="1581">
        <f t="shared" si="70"/>
        <v>5662000</v>
      </c>
      <c r="I1064" s="1581">
        <v>2</v>
      </c>
      <c r="J1064" s="1581">
        <v>2972550</v>
      </c>
      <c r="K1064" s="1581">
        <f t="shared" si="71"/>
        <v>5945100</v>
      </c>
      <c r="L1064" s="1581">
        <f t="shared" si="69"/>
        <v>141550</v>
      </c>
      <c r="M1064" s="1581" t="s">
        <v>3354</v>
      </c>
      <c r="N1064" s="1582" t="s">
        <v>3355</v>
      </c>
    </row>
    <row r="1065" spans="1:14">
      <c r="A1065" s="1491">
        <v>898</v>
      </c>
      <c r="B1065" s="1965">
        <v>37</v>
      </c>
      <c r="C1065" s="1487" t="s">
        <v>4339</v>
      </c>
      <c r="D1065" s="1491">
        <v>100</v>
      </c>
      <c r="E1065" s="1581" t="s">
        <v>435</v>
      </c>
      <c r="F1065" s="1581">
        <v>10</v>
      </c>
      <c r="G1065" s="1581">
        <v>8042000</v>
      </c>
      <c r="H1065" s="1581">
        <f t="shared" si="70"/>
        <v>80420000</v>
      </c>
      <c r="I1065" s="1581">
        <v>10</v>
      </c>
      <c r="J1065" s="1581">
        <v>8444100</v>
      </c>
      <c r="K1065" s="1581">
        <f t="shared" si="71"/>
        <v>84441000</v>
      </c>
      <c r="L1065" s="1581">
        <f t="shared" si="69"/>
        <v>402100</v>
      </c>
      <c r="M1065" s="1581" t="s">
        <v>3354</v>
      </c>
      <c r="N1065" s="1582" t="s">
        <v>3355</v>
      </c>
    </row>
    <row r="1066" spans="1:14">
      <c r="A1066" s="1968">
        <v>899</v>
      </c>
      <c r="B1066" s="1563">
        <v>38</v>
      </c>
      <c r="C1066" s="1487" t="s">
        <v>4340</v>
      </c>
      <c r="D1066" s="1491">
        <v>100</v>
      </c>
      <c r="E1066" s="1581" t="s">
        <v>435</v>
      </c>
      <c r="F1066" s="1581">
        <v>10</v>
      </c>
      <c r="G1066" s="1581">
        <v>8042000</v>
      </c>
      <c r="H1066" s="1581">
        <f t="shared" si="70"/>
        <v>80420000</v>
      </c>
      <c r="I1066" s="1581">
        <v>10</v>
      </c>
      <c r="J1066" s="1581">
        <v>8444100</v>
      </c>
      <c r="K1066" s="1581">
        <f t="shared" si="71"/>
        <v>84441000</v>
      </c>
      <c r="L1066" s="1581">
        <f t="shared" si="69"/>
        <v>402100</v>
      </c>
      <c r="M1066" s="1581" t="s">
        <v>3354</v>
      </c>
      <c r="N1066" s="1582" t="s">
        <v>3355</v>
      </c>
    </row>
    <row r="1067" spans="1:14">
      <c r="A1067" s="1491">
        <v>900</v>
      </c>
      <c r="B1067" s="1965">
        <v>39</v>
      </c>
      <c r="C1067" s="1487" t="s">
        <v>4341</v>
      </c>
      <c r="D1067" s="1491">
        <v>50</v>
      </c>
      <c r="E1067" s="1581" t="s">
        <v>435</v>
      </c>
      <c r="F1067" s="1581">
        <v>20</v>
      </c>
      <c r="G1067" s="1581">
        <v>2252000</v>
      </c>
      <c r="H1067" s="1581">
        <f t="shared" si="70"/>
        <v>45040000</v>
      </c>
      <c r="I1067" s="1581">
        <v>20</v>
      </c>
      <c r="J1067" s="1581">
        <v>2364600</v>
      </c>
      <c r="K1067" s="1581">
        <f t="shared" si="71"/>
        <v>47292000</v>
      </c>
      <c r="L1067" s="1581">
        <f t="shared" si="69"/>
        <v>112600</v>
      </c>
      <c r="M1067" s="1581" t="s">
        <v>3354</v>
      </c>
      <c r="N1067" s="1582" t="s">
        <v>3355</v>
      </c>
    </row>
    <row r="1068" spans="1:14">
      <c r="A1068" s="1968">
        <v>901</v>
      </c>
      <c r="B1068" s="1563">
        <v>40</v>
      </c>
      <c r="C1068" s="1487" t="s">
        <v>4342</v>
      </c>
      <c r="D1068" s="1491">
        <v>80</v>
      </c>
      <c r="E1068" s="1581" t="s">
        <v>435</v>
      </c>
      <c r="F1068" s="1581">
        <v>13</v>
      </c>
      <c r="G1068" s="1581">
        <v>3603000</v>
      </c>
      <c r="H1068" s="1581">
        <f t="shared" si="70"/>
        <v>46839000</v>
      </c>
      <c r="I1068" s="1581">
        <v>13</v>
      </c>
      <c r="J1068" s="1581">
        <v>3783150</v>
      </c>
      <c r="K1068" s="1581">
        <f t="shared" si="71"/>
        <v>49180950</v>
      </c>
      <c r="L1068" s="1581">
        <f t="shared" si="69"/>
        <v>180150</v>
      </c>
      <c r="M1068" s="1581" t="s">
        <v>3354</v>
      </c>
      <c r="N1068" s="1582" t="s">
        <v>3355</v>
      </c>
    </row>
    <row r="1069" spans="1:14">
      <c r="A1069" s="1491">
        <v>902</v>
      </c>
      <c r="B1069" s="1965">
        <v>41</v>
      </c>
      <c r="C1069" s="1487" t="s">
        <v>4343</v>
      </c>
      <c r="D1069" s="1491">
        <v>100</v>
      </c>
      <c r="E1069" s="1581" t="s">
        <v>435</v>
      </c>
      <c r="F1069" s="1581">
        <v>10</v>
      </c>
      <c r="G1069" s="1581">
        <v>3861000</v>
      </c>
      <c r="H1069" s="1581">
        <f t="shared" si="70"/>
        <v>38610000</v>
      </c>
      <c r="I1069" s="1581">
        <v>10</v>
      </c>
      <c r="J1069" s="1581">
        <v>4054050</v>
      </c>
      <c r="K1069" s="1581">
        <f t="shared" si="71"/>
        <v>40540500</v>
      </c>
      <c r="L1069" s="1581">
        <f t="shared" si="69"/>
        <v>193050</v>
      </c>
      <c r="M1069" s="1581" t="s">
        <v>3354</v>
      </c>
      <c r="N1069" s="1582" t="s">
        <v>3355</v>
      </c>
    </row>
    <row r="1070" spans="1:14">
      <c r="A1070" s="1968">
        <v>903</v>
      </c>
      <c r="B1070" s="1563">
        <v>42</v>
      </c>
      <c r="C1070" s="1487" t="s">
        <v>4344</v>
      </c>
      <c r="D1070" s="1491">
        <v>100</v>
      </c>
      <c r="E1070" s="1581" t="s">
        <v>435</v>
      </c>
      <c r="F1070" s="1581">
        <v>2</v>
      </c>
      <c r="G1070" s="1581">
        <v>6434000</v>
      </c>
      <c r="H1070" s="1581">
        <f t="shared" si="70"/>
        <v>12868000</v>
      </c>
      <c r="I1070" s="1581">
        <v>2</v>
      </c>
      <c r="J1070" s="1581">
        <v>6755700</v>
      </c>
      <c r="K1070" s="1581">
        <f t="shared" si="71"/>
        <v>13511400</v>
      </c>
      <c r="L1070" s="1581">
        <f t="shared" si="69"/>
        <v>321700</v>
      </c>
      <c r="M1070" s="1581" t="s">
        <v>3354</v>
      </c>
      <c r="N1070" s="1582" t="s">
        <v>3355</v>
      </c>
    </row>
    <row r="1071" spans="1:14">
      <c r="A1071" s="1491">
        <v>904</v>
      </c>
      <c r="B1071" s="1965">
        <v>43</v>
      </c>
      <c r="C1071" s="1487" t="s">
        <v>4345</v>
      </c>
      <c r="D1071" s="1491">
        <v>50</v>
      </c>
      <c r="E1071" s="1581" t="s">
        <v>435</v>
      </c>
      <c r="F1071" s="1581">
        <v>1</v>
      </c>
      <c r="G1071" s="1581">
        <v>1931000</v>
      </c>
      <c r="H1071" s="1581">
        <f t="shared" si="70"/>
        <v>1931000</v>
      </c>
      <c r="I1071" s="1581">
        <v>1</v>
      </c>
      <c r="J1071" s="1581">
        <v>2027550</v>
      </c>
      <c r="K1071" s="1581">
        <f t="shared" si="71"/>
        <v>2027550</v>
      </c>
      <c r="L1071" s="1581">
        <f t="shared" si="69"/>
        <v>96550</v>
      </c>
      <c r="M1071" s="1581" t="s">
        <v>3354</v>
      </c>
      <c r="N1071" s="1582" t="s">
        <v>3355</v>
      </c>
    </row>
    <row r="1072" spans="1:14">
      <c r="A1072" s="1968">
        <v>905</v>
      </c>
      <c r="B1072" s="1563">
        <v>44</v>
      </c>
      <c r="C1072" s="1487" t="s">
        <v>4346</v>
      </c>
      <c r="D1072" s="1491">
        <v>100</v>
      </c>
      <c r="E1072" s="1581" t="s">
        <v>435</v>
      </c>
      <c r="F1072" s="1581">
        <v>30</v>
      </c>
      <c r="G1072" s="1581">
        <v>28951000</v>
      </c>
      <c r="H1072" s="1581">
        <f t="shared" si="70"/>
        <v>868530000</v>
      </c>
      <c r="I1072" s="1581">
        <v>30</v>
      </c>
      <c r="J1072" s="1581">
        <v>30398550</v>
      </c>
      <c r="K1072" s="1581">
        <f t="shared" si="71"/>
        <v>911956500</v>
      </c>
      <c r="L1072" s="1581">
        <f t="shared" si="69"/>
        <v>1447550</v>
      </c>
      <c r="M1072" s="1581" t="s">
        <v>3354</v>
      </c>
      <c r="N1072" s="1582" t="s">
        <v>3355</v>
      </c>
    </row>
    <row r="1073" spans="1:14">
      <c r="A1073" s="1491">
        <v>906</v>
      </c>
      <c r="B1073" s="1965">
        <v>45</v>
      </c>
      <c r="C1073" s="1487" t="s">
        <v>4347</v>
      </c>
      <c r="D1073" s="1491">
        <v>50</v>
      </c>
      <c r="E1073" s="1581" t="s">
        <v>435</v>
      </c>
      <c r="F1073" s="1581">
        <v>1</v>
      </c>
      <c r="G1073" s="1581">
        <v>48252000</v>
      </c>
      <c r="H1073" s="1581">
        <f t="shared" si="70"/>
        <v>48252000</v>
      </c>
      <c r="I1073" s="1581">
        <v>1</v>
      </c>
      <c r="J1073" s="1581">
        <v>50664600</v>
      </c>
      <c r="K1073" s="1581">
        <f t="shared" si="71"/>
        <v>50664600</v>
      </c>
      <c r="L1073" s="1581">
        <f t="shared" si="69"/>
        <v>2412600</v>
      </c>
      <c r="M1073" s="1581" t="s">
        <v>3354</v>
      </c>
      <c r="N1073" s="1582" t="s">
        <v>3355</v>
      </c>
    </row>
    <row r="1074" spans="1:14">
      <c r="A1074" s="1968">
        <v>907</v>
      </c>
      <c r="B1074" s="1563">
        <v>46</v>
      </c>
      <c r="C1074" s="1487" t="s">
        <v>4348</v>
      </c>
      <c r="D1074" s="1491">
        <v>50</v>
      </c>
      <c r="E1074" s="1581" t="s">
        <v>435</v>
      </c>
      <c r="F1074" s="1581">
        <v>1</v>
      </c>
      <c r="G1074" s="1581">
        <v>48252000</v>
      </c>
      <c r="H1074" s="1581">
        <f t="shared" si="70"/>
        <v>48252000</v>
      </c>
      <c r="I1074" s="1581">
        <v>1</v>
      </c>
      <c r="J1074" s="1581">
        <v>50664600</v>
      </c>
      <c r="K1074" s="1581">
        <f t="shared" si="71"/>
        <v>50664600</v>
      </c>
      <c r="L1074" s="1581">
        <f t="shared" si="69"/>
        <v>2412600</v>
      </c>
      <c r="M1074" s="1581" t="s">
        <v>3354</v>
      </c>
      <c r="N1074" s="1582" t="s">
        <v>3355</v>
      </c>
    </row>
    <row r="1075" spans="1:14">
      <c r="A1075" s="1491">
        <v>908</v>
      </c>
      <c r="B1075" s="1965">
        <v>47</v>
      </c>
      <c r="C1075" s="1487" t="s">
        <v>4349</v>
      </c>
      <c r="D1075" s="1491">
        <v>50</v>
      </c>
      <c r="E1075" s="1581" t="s">
        <v>435</v>
      </c>
      <c r="F1075" s="1581">
        <v>1</v>
      </c>
      <c r="G1075" s="1581">
        <v>48252000</v>
      </c>
      <c r="H1075" s="1581">
        <f t="shared" si="70"/>
        <v>48252000</v>
      </c>
      <c r="I1075" s="1581">
        <v>1</v>
      </c>
      <c r="J1075" s="1581">
        <v>50664600</v>
      </c>
      <c r="K1075" s="1581">
        <f t="shared" si="71"/>
        <v>50664600</v>
      </c>
      <c r="L1075" s="1581">
        <f t="shared" si="69"/>
        <v>2412600</v>
      </c>
      <c r="M1075" s="1581" t="s">
        <v>3354</v>
      </c>
      <c r="N1075" s="1582" t="s">
        <v>3355</v>
      </c>
    </row>
    <row r="1076" spans="1:14">
      <c r="A1076" s="1968">
        <v>909</v>
      </c>
      <c r="B1076" s="1563">
        <v>48</v>
      </c>
      <c r="C1076" s="1487" t="s">
        <v>4350</v>
      </c>
      <c r="D1076" s="1491" t="s">
        <v>4351</v>
      </c>
      <c r="E1076" s="1581" t="s">
        <v>435</v>
      </c>
      <c r="F1076" s="1581">
        <v>3</v>
      </c>
      <c r="G1076" s="1581">
        <v>5147000</v>
      </c>
      <c r="H1076" s="1581">
        <f t="shared" si="70"/>
        <v>15441000</v>
      </c>
      <c r="I1076" s="1581">
        <v>3</v>
      </c>
      <c r="J1076" s="1581">
        <v>5404350</v>
      </c>
      <c r="K1076" s="1581">
        <f t="shared" si="71"/>
        <v>16213050</v>
      </c>
      <c r="L1076" s="1581">
        <f t="shared" si="69"/>
        <v>257350</v>
      </c>
      <c r="M1076" s="1581" t="s">
        <v>3354</v>
      </c>
      <c r="N1076" s="1582" t="s">
        <v>3355</v>
      </c>
    </row>
    <row r="1077" spans="1:14">
      <c r="A1077" s="1491">
        <v>910</v>
      </c>
      <c r="B1077" s="1965">
        <v>49</v>
      </c>
      <c r="C1077" s="1487" t="s">
        <v>4352</v>
      </c>
      <c r="D1077" s="1491" t="s">
        <v>4351</v>
      </c>
      <c r="E1077" s="1581" t="s">
        <v>435</v>
      </c>
      <c r="F1077" s="1581">
        <v>2</v>
      </c>
      <c r="G1077" s="1581">
        <v>6016000</v>
      </c>
      <c r="H1077" s="1581">
        <f t="shared" si="70"/>
        <v>12032000</v>
      </c>
      <c r="I1077" s="1581">
        <v>2</v>
      </c>
      <c r="J1077" s="1581">
        <v>6316800</v>
      </c>
      <c r="K1077" s="1581">
        <f t="shared" si="71"/>
        <v>12633600</v>
      </c>
      <c r="L1077" s="1581">
        <f t="shared" si="69"/>
        <v>300800</v>
      </c>
      <c r="M1077" s="1581" t="s">
        <v>3354</v>
      </c>
      <c r="N1077" s="1582" t="s">
        <v>3355</v>
      </c>
    </row>
    <row r="1078" spans="1:14">
      <c r="A1078" s="1968">
        <v>911</v>
      </c>
      <c r="B1078" s="1563">
        <v>50</v>
      </c>
      <c r="C1078" s="1487" t="s">
        <v>4353</v>
      </c>
      <c r="D1078" s="1491" t="s">
        <v>4351</v>
      </c>
      <c r="E1078" s="1581" t="s">
        <v>435</v>
      </c>
      <c r="F1078" s="1581">
        <v>1</v>
      </c>
      <c r="G1078" s="1581">
        <v>6273000</v>
      </c>
      <c r="H1078" s="1581">
        <f t="shared" si="70"/>
        <v>6273000</v>
      </c>
      <c r="I1078" s="1581">
        <v>1</v>
      </c>
      <c r="J1078" s="1581">
        <v>6586650</v>
      </c>
      <c r="K1078" s="1581">
        <f t="shared" si="71"/>
        <v>6586650</v>
      </c>
      <c r="L1078" s="1581">
        <f t="shared" si="69"/>
        <v>313650</v>
      </c>
      <c r="M1078" s="1581" t="s">
        <v>3354</v>
      </c>
      <c r="N1078" s="1582" t="s">
        <v>3355</v>
      </c>
    </row>
    <row r="1079" spans="1:14">
      <c r="A1079" s="1491">
        <v>912</v>
      </c>
      <c r="B1079" s="1965">
        <v>51</v>
      </c>
      <c r="C1079" s="1487" t="s">
        <v>4354</v>
      </c>
      <c r="D1079" s="1491" t="s">
        <v>4351</v>
      </c>
      <c r="E1079" s="1581" t="s">
        <v>435</v>
      </c>
      <c r="F1079" s="1581">
        <v>1</v>
      </c>
      <c r="G1079" s="1581">
        <v>3056000</v>
      </c>
      <c r="H1079" s="1581">
        <f t="shared" si="70"/>
        <v>3056000</v>
      </c>
      <c r="I1079" s="1581">
        <v>1</v>
      </c>
      <c r="J1079" s="1581">
        <v>3208800</v>
      </c>
      <c r="K1079" s="1581">
        <f t="shared" si="71"/>
        <v>3208800</v>
      </c>
      <c r="L1079" s="1581">
        <f t="shared" si="69"/>
        <v>152800</v>
      </c>
      <c r="M1079" s="1581" t="s">
        <v>3354</v>
      </c>
      <c r="N1079" s="1582" t="s">
        <v>3355</v>
      </c>
    </row>
    <row r="1080" spans="1:14">
      <c r="A1080" s="1968">
        <v>913</v>
      </c>
      <c r="B1080" s="1563">
        <v>52</v>
      </c>
      <c r="C1080" s="1487" t="s">
        <v>4355</v>
      </c>
      <c r="D1080" s="1491" t="s">
        <v>4351</v>
      </c>
      <c r="E1080" s="1581" t="s">
        <v>435</v>
      </c>
      <c r="F1080" s="1581">
        <v>1</v>
      </c>
      <c r="G1080" s="1581">
        <v>8042000</v>
      </c>
      <c r="H1080" s="1581">
        <f t="shared" si="70"/>
        <v>8042000</v>
      </c>
      <c r="I1080" s="1581">
        <v>1</v>
      </c>
      <c r="J1080" s="1581">
        <v>8444100</v>
      </c>
      <c r="K1080" s="1581">
        <f t="shared" si="71"/>
        <v>8444100</v>
      </c>
      <c r="L1080" s="1581">
        <f t="shared" si="69"/>
        <v>402100</v>
      </c>
      <c r="M1080" s="1581" t="s">
        <v>3354</v>
      </c>
      <c r="N1080" s="1582" t="s">
        <v>3355</v>
      </c>
    </row>
    <row r="1081" spans="1:14">
      <c r="A1081" s="1491">
        <v>914</v>
      </c>
      <c r="B1081" s="1965">
        <v>53</v>
      </c>
      <c r="C1081" s="1487" t="s">
        <v>4356</v>
      </c>
      <c r="D1081" s="1491" t="s">
        <v>4357</v>
      </c>
      <c r="E1081" s="1581" t="s">
        <v>435</v>
      </c>
      <c r="F1081" s="1581">
        <v>5</v>
      </c>
      <c r="G1081" s="1581">
        <v>4729000</v>
      </c>
      <c r="H1081" s="1581">
        <f t="shared" si="70"/>
        <v>23645000</v>
      </c>
      <c r="I1081" s="1581">
        <v>5</v>
      </c>
      <c r="J1081" s="1581">
        <v>4965450</v>
      </c>
      <c r="K1081" s="1581">
        <f t="shared" si="71"/>
        <v>24827250</v>
      </c>
      <c r="L1081" s="1581">
        <f t="shared" si="69"/>
        <v>236450</v>
      </c>
      <c r="M1081" s="1581" t="s">
        <v>3354</v>
      </c>
      <c r="N1081" s="1582" t="s">
        <v>3355</v>
      </c>
    </row>
    <row r="1082" spans="1:14">
      <c r="A1082" s="1968">
        <v>915</v>
      </c>
      <c r="B1082" s="1563">
        <v>54</v>
      </c>
      <c r="C1082" s="1969" t="s">
        <v>4358</v>
      </c>
      <c r="D1082" s="1491" t="s">
        <v>4357</v>
      </c>
      <c r="E1082" s="1581" t="s">
        <v>435</v>
      </c>
      <c r="F1082" s="1581">
        <v>5</v>
      </c>
      <c r="G1082" s="1581">
        <v>5630000</v>
      </c>
      <c r="H1082" s="1581">
        <f t="shared" si="70"/>
        <v>28150000</v>
      </c>
      <c r="I1082" s="1581">
        <v>5</v>
      </c>
      <c r="J1082" s="1581">
        <v>5911500</v>
      </c>
      <c r="K1082" s="1581">
        <f t="shared" si="71"/>
        <v>29557500</v>
      </c>
      <c r="L1082" s="1581">
        <f t="shared" si="69"/>
        <v>281500</v>
      </c>
      <c r="M1082" s="1581" t="s">
        <v>3354</v>
      </c>
      <c r="N1082" s="1582" t="s">
        <v>3355</v>
      </c>
    </row>
    <row r="1083" spans="1:14">
      <c r="A1083" s="1491">
        <v>916</v>
      </c>
      <c r="B1083" s="1965">
        <v>55</v>
      </c>
      <c r="C1083" s="1487" t="s">
        <v>4359</v>
      </c>
      <c r="D1083" s="1491" t="s">
        <v>4351</v>
      </c>
      <c r="E1083" s="1581" t="s">
        <v>435</v>
      </c>
      <c r="F1083" s="1581">
        <v>3</v>
      </c>
      <c r="G1083" s="1581">
        <v>5662000</v>
      </c>
      <c r="H1083" s="1581">
        <f t="shared" si="70"/>
        <v>16986000</v>
      </c>
      <c r="I1083" s="1581">
        <v>3</v>
      </c>
      <c r="J1083" s="1581">
        <v>5945100</v>
      </c>
      <c r="K1083" s="1581">
        <f t="shared" si="71"/>
        <v>17835300</v>
      </c>
      <c r="L1083" s="1581">
        <f t="shared" si="69"/>
        <v>283100</v>
      </c>
      <c r="M1083" s="1581" t="s">
        <v>3354</v>
      </c>
      <c r="N1083" s="1582" t="s">
        <v>3355</v>
      </c>
    </row>
    <row r="1084" spans="1:14">
      <c r="A1084" s="1968">
        <v>917</v>
      </c>
      <c r="B1084" s="1563">
        <v>56</v>
      </c>
      <c r="C1084" s="1487" t="s">
        <v>4360</v>
      </c>
      <c r="D1084" s="1491" t="s">
        <v>4357</v>
      </c>
      <c r="E1084" s="1581" t="s">
        <v>435</v>
      </c>
      <c r="F1084" s="1581">
        <v>1</v>
      </c>
      <c r="G1084" s="1581">
        <v>3861000</v>
      </c>
      <c r="H1084" s="1581">
        <f t="shared" si="70"/>
        <v>3861000</v>
      </c>
      <c r="I1084" s="1581">
        <v>1</v>
      </c>
      <c r="J1084" s="1581">
        <v>4054050</v>
      </c>
      <c r="K1084" s="1581">
        <f t="shared" si="71"/>
        <v>4054050</v>
      </c>
      <c r="L1084" s="1581">
        <f t="shared" si="69"/>
        <v>193050</v>
      </c>
      <c r="M1084" s="1581" t="s">
        <v>3354</v>
      </c>
      <c r="N1084" s="1582" t="s">
        <v>3355</v>
      </c>
    </row>
    <row r="1085" spans="1:14">
      <c r="A1085" s="1491">
        <v>918</v>
      </c>
      <c r="B1085" s="1965">
        <v>57</v>
      </c>
      <c r="C1085" s="1487" t="s">
        <v>4361</v>
      </c>
      <c r="D1085" s="1491" t="s">
        <v>4351</v>
      </c>
      <c r="E1085" s="1581" t="s">
        <v>435</v>
      </c>
      <c r="F1085" s="1581">
        <v>3</v>
      </c>
      <c r="G1085" s="1581">
        <v>4407000</v>
      </c>
      <c r="H1085" s="1581">
        <f t="shared" si="70"/>
        <v>13221000</v>
      </c>
      <c r="I1085" s="1581">
        <v>3</v>
      </c>
      <c r="J1085" s="1581">
        <v>4627350</v>
      </c>
      <c r="K1085" s="1581">
        <f t="shared" si="71"/>
        <v>13882050</v>
      </c>
      <c r="L1085" s="1581">
        <f t="shared" si="69"/>
        <v>220350</v>
      </c>
      <c r="M1085" s="1581" t="s">
        <v>3354</v>
      </c>
      <c r="N1085" s="1582" t="s">
        <v>3355</v>
      </c>
    </row>
    <row r="1086" spans="1:14">
      <c r="A1086" s="1968">
        <v>919</v>
      </c>
      <c r="B1086" s="1563">
        <v>58</v>
      </c>
      <c r="C1086" s="1487" t="s">
        <v>4362</v>
      </c>
      <c r="D1086" s="1491" t="s">
        <v>4351</v>
      </c>
      <c r="E1086" s="1581" t="s">
        <v>435</v>
      </c>
      <c r="F1086" s="1581">
        <v>3</v>
      </c>
      <c r="G1086" s="1581">
        <v>3153000</v>
      </c>
      <c r="H1086" s="1581">
        <f t="shared" si="70"/>
        <v>9459000</v>
      </c>
      <c r="I1086" s="1581">
        <v>3</v>
      </c>
      <c r="J1086" s="1581">
        <v>3310650</v>
      </c>
      <c r="K1086" s="1581">
        <f t="shared" si="71"/>
        <v>9931950</v>
      </c>
      <c r="L1086" s="1581">
        <f t="shared" si="69"/>
        <v>157650</v>
      </c>
      <c r="M1086" s="1581" t="s">
        <v>3354</v>
      </c>
      <c r="N1086" s="1582" t="s">
        <v>3355</v>
      </c>
    </row>
    <row r="1087" spans="1:14">
      <c r="A1087" s="1491">
        <v>920</v>
      </c>
      <c r="B1087" s="1965">
        <v>59</v>
      </c>
      <c r="C1087" s="1487" t="s">
        <v>4363</v>
      </c>
      <c r="D1087" s="1491" t="s">
        <v>4351</v>
      </c>
      <c r="E1087" s="1581" t="s">
        <v>435</v>
      </c>
      <c r="F1087" s="1581">
        <v>2</v>
      </c>
      <c r="G1087" s="1581">
        <v>3217000</v>
      </c>
      <c r="H1087" s="1581">
        <f t="shared" si="70"/>
        <v>6434000</v>
      </c>
      <c r="I1087" s="1581">
        <v>2</v>
      </c>
      <c r="J1087" s="1581">
        <v>3377850</v>
      </c>
      <c r="K1087" s="1581">
        <f t="shared" si="71"/>
        <v>6755700</v>
      </c>
      <c r="L1087" s="1581">
        <f t="shared" si="69"/>
        <v>160850</v>
      </c>
      <c r="M1087" s="1581" t="s">
        <v>3354</v>
      </c>
      <c r="N1087" s="1582" t="s">
        <v>3355</v>
      </c>
    </row>
    <row r="1088" spans="1:14">
      <c r="A1088" s="1968">
        <v>921</v>
      </c>
      <c r="B1088" s="1563">
        <v>60</v>
      </c>
      <c r="C1088" s="1487" t="s">
        <v>4364</v>
      </c>
      <c r="D1088" s="1491" t="s">
        <v>4351</v>
      </c>
      <c r="E1088" s="1581" t="s">
        <v>435</v>
      </c>
      <c r="F1088" s="1581">
        <v>1</v>
      </c>
      <c r="G1088" s="1581">
        <v>48252000</v>
      </c>
      <c r="H1088" s="1581">
        <f t="shared" si="70"/>
        <v>48252000</v>
      </c>
      <c r="I1088" s="1581">
        <v>1</v>
      </c>
      <c r="J1088" s="1581">
        <v>50664600</v>
      </c>
      <c r="K1088" s="1581">
        <f t="shared" si="71"/>
        <v>50664600</v>
      </c>
      <c r="L1088" s="1581">
        <f t="shared" si="69"/>
        <v>2412600</v>
      </c>
      <c r="M1088" s="1581" t="s">
        <v>3354</v>
      </c>
      <c r="N1088" s="1582" t="s">
        <v>3355</v>
      </c>
    </row>
    <row r="1089" spans="1:14">
      <c r="A1089" s="1491">
        <v>922</v>
      </c>
      <c r="B1089" s="1965">
        <v>61</v>
      </c>
      <c r="C1089" s="1487" t="s">
        <v>4365</v>
      </c>
      <c r="D1089" s="1491" t="s">
        <v>4351</v>
      </c>
      <c r="E1089" s="1581" t="s">
        <v>435</v>
      </c>
      <c r="F1089" s="1581">
        <v>1</v>
      </c>
      <c r="G1089" s="1581">
        <v>2413000</v>
      </c>
      <c r="H1089" s="1581">
        <f t="shared" si="70"/>
        <v>2413000</v>
      </c>
      <c r="I1089" s="1581">
        <v>1</v>
      </c>
      <c r="J1089" s="1581">
        <v>2533650</v>
      </c>
      <c r="K1089" s="1581">
        <f t="shared" si="71"/>
        <v>2533650</v>
      </c>
      <c r="L1089" s="1581">
        <f t="shared" si="69"/>
        <v>120650</v>
      </c>
      <c r="M1089" s="1581" t="s">
        <v>3354</v>
      </c>
      <c r="N1089" s="1582" t="s">
        <v>3355</v>
      </c>
    </row>
    <row r="1090" spans="1:14">
      <c r="A1090" s="1968">
        <v>923</v>
      </c>
      <c r="B1090" s="1563">
        <v>62</v>
      </c>
      <c r="C1090" s="1487" t="s">
        <v>4366</v>
      </c>
      <c r="D1090" s="1491" t="s">
        <v>4351</v>
      </c>
      <c r="E1090" s="1581" t="s">
        <v>435</v>
      </c>
      <c r="F1090" s="1581">
        <v>1</v>
      </c>
      <c r="G1090" s="1581">
        <v>18432000</v>
      </c>
      <c r="H1090" s="1581">
        <f t="shared" si="70"/>
        <v>18432000</v>
      </c>
      <c r="I1090" s="1581">
        <v>1</v>
      </c>
      <c r="J1090" s="1581">
        <v>19353600</v>
      </c>
      <c r="K1090" s="1581">
        <f t="shared" si="71"/>
        <v>19353600</v>
      </c>
      <c r="L1090" s="1581">
        <f t="shared" si="69"/>
        <v>921600</v>
      </c>
      <c r="M1090" s="1581" t="s">
        <v>3354</v>
      </c>
      <c r="N1090" s="1582" t="s">
        <v>3355</v>
      </c>
    </row>
    <row r="1091" spans="1:14">
      <c r="A1091" s="1491">
        <v>924</v>
      </c>
      <c r="B1091" s="1965">
        <v>63</v>
      </c>
      <c r="C1091" s="1487" t="s">
        <v>4367</v>
      </c>
      <c r="D1091" s="1491" t="s">
        <v>4368</v>
      </c>
      <c r="E1091" s="1581" t="s">
        <v>435</v>
      </c>
      <c r="F1091" s="1581">
        <v>1</v>
      </c>
      <c r="G1091" s="1581">
        <v>5405000</v>
      </c>
      <c r="H1091" s="1581">
        <f t="shared" si="70"/>
        <v>5405000</v>
      </c>
      <c r="I1091" s="1581">
        <v>1</v>
      </c>
      <c r="J1091" s="1581">
        <v>5675250</v>
      </c>
      <c r="K1091" s="1581">
        <f t="shared" si="71"/>
        <v>5675250</v>
      </c>
      <c r="L1091" s="1581">
        <f t="shared" si="69"/>
        <v>270250</v>
      </c>
      <c r="M1091" s="1581" t="s">
        <v>3354</v>
      </c>
      <c r="N1091" s="1582" t="s">
        <v>3355</v>
      </c>
    </row>
    <row r="1092" spans="1:14">
      <c r="A1092" s="1968">
        <v>925</v>
      </c>
      <c r="B1092" s="1563">
        <v>64</v>
      </c>
      <c r="C1092" s="1487" t="s">
        <v>4369</v>
      </c>
      <c r="D1092" s="1491" t="s">
        <v>4351</v>
      </c>
      <c r="E1092" s="1581" t="s">
        <v>435</v>
      </c>
      <c r="F1092" s="1581">
        <v>2</v>
      </c>
      <c r="G1092" s="1581">
        <v>3539000</v>
      </c>
      <c r="H1092" s="1581">
        <f t="shared" si="70"/>
        <v>7078000</v>
      </c>
      <c r="I1092" s="1581">
        <v>2</v>
      </c>
      <c r="J1092" s="1581">
        <v>3715950</v>
      </c>
      <c r="K1092" s="1581">
        <f t="shared" si="71"/>
        <v>7431900</v>
      </c>
      <c r="L1092" s="1581">
        <f t="shared" si="69"/>
        <v>176950</v>
      </c>
      <c r="M1092" s="1581" t="s">
        <v>3354</v>
      </c>
      <c r="N1092" s="1582" t="s">
        <v>3355</v>
      </c>
    </row>
    <row r="1093" spans="1:14">
      <c r="A1093" s="1491">
        <v>926</v>
      </c>
      <c r="B1093" s="1965">
        <v>65</v>
      </c>
      <c r="C1093" s="1487" t="s">
        <v>4370</v>
      </c>
      <c r="D1093" s="1491" t="s">
        <v>4351</v>
      </c>
      <c r="E1093" s="1581" t="s">
        <v>435</v>
      </c>
      <c r="F1093" s="1581">
        <v>2</v>
      </c>
      <c r="G1093" s="1581">
        <v>4182000</v>
      </c>
      <c r="H1093" s="1581">
        <f t="shared" si="70"/>
        <v>8364000</v>
      </c>
      <c r="I1093" s="1581">
        <v>2</v>
      </c>
      <c r="J1093" s="1581">
        <v>4391100</v>
      </c>
      <c r="K1093" s="1581">
        <f t="shared" si="71"/>
        <v>8782200</v>
      </c>
      <c r="L1093" s="1581">
        <f t="shared" ref="L1093:L1102" si="72">J1093-G1093</f>
        <v>209100</v>
      </c>
      <c r="M1093" s="1581" t="s">
        <v>3354</v>
      </c>
      <c r="N1093" s="1582" t="s">
        <v>3355</v>
      </c>
    </row>
    <row r="1094" spans="1:14">
      <c r="A1094" s="1968">
        <v>927</v>
      </c>
      <c r="B1094" s="1563">
        <v>66</v>
      </c>
      <c r="C1094" s="1487" t="s">
        <v>4371</v>
      </c>
      <c r="D1094" s="1491" t="s">
        <v>4351</v>
      </c>
      <c r="E1094" s="1581" t="s">
        <v>435</v>
      </c>
      <c r="F1094" s="1581">
        <v>1</v>
      </c>
      <c r="G1094" s="1581">
        <v>4182000</v>
      </c>
      <c r="H1094" s="1581">
        <f t="shared" ref="H1094:H1102" si="73">F1094*G1094</f>
        <v>4182000</v>
      </c>
      <c r="I1094" s="1581">
        <v>1</v>
      </c>
      <c r="J1094" s="1581">
        <v>4391100</v>
      </c>
      <c r="K1094" s="1581">
        <f t="shared" ref="K1094:K1102" si="74">I1094*J1094</f>
        <v>4391100</v>
      </c>
      <c r="L1094" s="1581">
        <f t="shared" si="72"/>
        <v>209100</v>
      </c>
      <c r="M1094" s="1581" t="s">
        <v>3354</v>
      </c>
      <c r="N1094" s="1582" t="s">
        <v>3355</v>
      </c>
    </row>
    <row r="1095" spans="1:14">
      <c r="A1095" s="1491">
        <v>928</v>
      </c>
      <c r="B1095" s="1965">
        <v>67</v>
      </c>
      <c r="C1095" s="1487" t="s">
        <v>4372</v>
      </c>
      <c r="D1095" s="1491" t="s">
        <v>4373</v>
      </c>
      <c r="E1095" s="1581" t="s">
        <v>435</v>
      </c>
      <c r="F1095" s="1581">
        <v>2</v>
      </c>
      <c r="G1095" s="1581">
        <v>3217000</v>
      </c>
      <c r="H1095" s="1581">
        <f t="shared" si="73"/>
        <v>6434000</v>
      </c>
      <c r="I1095" s="1581">
        <v>2</v>
      </c>
      <c r="J1095" s="1581">
        <v>3377850</v>
      </c>
      <c r="K1095" s="1581">
        <f t="shared" si="74"/>
        <v>6755700</v>
      </c>
      <c r="L1095" s="1581">
        <f t="shared" si="72"/>
        <v>160850</v>
      </c>
      <c r="M1095" s="1581" t="s">
        <v>3354</v>
      </c>
      <c r="N1095" s="1582" t="s">
        <v>3355</v>
      </c>
    </row>
    <row r="1096" spans="1:14">
      <c r="A1096" s="1968">
        <v>929</v>
      </c>
      <c r="B1096" s="1563">
        <v>68</v>
      </c>
      <c r="C1096" s="1487" t="s">
        <v>4374</v>
      </c>
      <c r="D1096" s="1491" t="s">
        <v>4373</v>
      </c>
      <c r="E1096" s="1581" t="s">
        <v>435</v>
      </c>
      <c r="F1096" s="1581">
        <v>2</v>
      </c>
      <c r="G1096" s="1581">
        <v>3217000</v>
      </c>
      <c r="H1096" s="1581">
        <f t="shared" si="73"/>
        <v>6434000</v>
      </c>
      <c r="I1096" s="1581">
        <v>2</v>
      </c>
      <c r="J1096" s="1581">
        <v>3377850</v>
      </c>
      <c r="K1096" s="1581">
        <f t="shared" si="74"/>
        <v>6755700</v>
      </c>
      <c r="L1096" s="1581">
        <f t="shared" si="72"/>
        <v>160850</v>
      </c>
      <c r="M1096" s="1581" t="s">
        <v>3354</v>
      </c>
      <c r="N1096" s="1582" t="s">
        <v>3355</v>
      </c>
    </row>
    <row r="1097" spans="1:14">
      <c r="A1097" s="1491">
        <v>930</v>
      </c>
      <c r="B1097" s="1965">
        <v>69</v>
      </c>
      <c r="C1097" s="1487" t="s">
        <v>4375</v>
      </c>
      <c r="D1097" s="1491" t="s">
        <v>4376</v>
      </c>
      <c r="E1097" s="1581" t="s">
        <v>435</v>
      </c>
      <c r="F1097" s="1581">
        <v>2</v>
      </c>
      <c r="G1097" s="1581">
        <v>6434000</v>
      </c>
      <c r="H1097" s="1581">
        <f t="shared" si="73"/>
        <v>12868000</v>
      </c>
      <c r="I1097" s="1581">
        <v>2</v>
      </c>
      <c r="J1097" s="1581">
        <v>6755700</v>
      </c>
      <c r="K1097" s="1581">
        <f t="shared" si="74"/>
        <v>13511400</v>
      </c>
      <c r="L1097" s="1581">
        <f t="shared" si="72"/>
        <v>321700</v>
      </c>
      <c r="M1097" s="1581" t="s">
        <v>3354</v>
      </c>
      <c r="N1097" s="1582" t="s">
        <v>3355</v>
      </c>
    </row>
    <row r="1098" spans="1:14">
      <c r="A1098" s="1968">
        <v>931</v>
      </c>
      <c r="B1098" s="1563">
        <v>70</v>
      </c>
      <c r="C1098" s="1969" t="s">
        <v>4377</v>
      </c>
      <c r="D1098" s="1491" t="s">
        <v>4378</v>
      </c>
      <c r="E1098" s="1581" t="s">
        <v>435</v>
      </c>
      <c r="F1098" s="1581">
        <v>1</v>
      </c>
      <c r="G1098" s="1581">
        <v>6434000</v>
      </c>
      <c r="H1098" s="1581">
        <f t="shared" si="73"/>
        <v>6434000</v>
      </c>
      <c r="I1098" s="1581">
        <v>1</v>
      </c>
      <c r="J1098" s="1581">
        <v>6755700</v>
      </c>
      <c r="K1098" s="1581">
        <f t="shared" si="74"/>
        <v>6755700</v>
      </c>
      <c r="L1098" s="1581">
        <f t="shared" si="72"/>
        <v>321700</v>
      </c>
      <c r="M1098" s="1581" t="s">
        <v>3354</v>
      </c>
      <c r="N1098" s="1582" t="s">
        <v>3355</v>
      </c>
    </row>
    <row r="1099" spans="1:14">
      <c r="A1099" s="1491">
        <v>932</v>
      </c>
      <c r="B1099" s="1965">
        <v>71</v>
      </c>
      <c r="C1099" s="1969" t="s">
        <v>4379</v>
      </c>
      <c r="D1099" s="1491" t="s">
        <v>4376</v>
      </c>
      <c r="E1099" s="1581" t="s">
        <v>435</v>
      </c>
      <c r="F1099" s="1581">
        <v>1</v>
      </c>
      <c r="G1099" s="1581">
        <v>28951000</v>
      </c>
      <c r="H1099" s="1581">
        <f t="shared" si="73"/>
        <v>28951000</v>
      </c>
      <c r="I1099" s="1581">
        <v>1</v>
      </c>
      <c r="J1099" s="1581">
        <v>30398550</v>
      </c>
      <c r="K1099" s="1581">
        <f t="shared" si="74"/>
        <v>30398550</v>
      </c>
      <c r="L1099" s="1581">
        <f t="shared" si="72"/>
        <v>1447550</v>
      </c>
      <c r="M1099" s="1581" t="s">
        <v>3354</v>
      </c>
      <c r="N1099" s="1582" t="s">
        <v>3355</v>
      </c>
    </row>
    <row r="1100" spans="1:14">
      <c r="A1100" s="1968">
        <v>933</v>
      </c>
      <c r="B1100" s="1563">
        <v>72</v>
      </c>
      <c r="C1100" s="1487" t="s">
        <v>4380</v>
      </c>
      <c r="D1100" s="1491" t="s">
        <v>4351</v>
      </c>
      <c r="E1100" s="1581" t="s">
        <v>435</v>
      </c>
      <c r="F1100" s="1581">
        <v>1</v>
      </c>
      <c r="G1100" s="1581">
        <v>9651000</v>
      </c>
      <c r="H1100" s="1581">
        <f t="shared" si="73"/>
        <v>9651000</v>
      </c>
      <c r="I1100" s="1581">
        <v>1</v>
      </c>
      <c r="J1100" s="1581">
        <v>10133550</v>
      </c>
      <c r="K1100" s="1581">
        <f t="shared" si="74"/>
        <v>10133550</v>
      </c>
      <c r="L1100" s="1581">
        <f t="shared" si="72"/>
        <v>482550</v>
      </c>
      <c r="M1100" s="1581" t="s">
        <v>3354</v>
      </c>
      <c r="N1100" s="1582" t="s">
        <v>3355</v>
      </c>
    </row>
    <row r="1101" spans="1:14">
      <c r="A1101" s="1491">
        <v>934</v>
      </c>
      <c r="B1101" s="1965">
        <v>73</v>
      </c>
      <c r="C1101" s="1969" t="s">
        <v>4381</v>
      </c>
      <c r="D1101" s="1491" t="s">
        <v>4351</v>
      </c>
      <c r="E1101" s="1581" t="s">
        <v>435</v>
      </c>
      <c r="F1101" s="1581">
        <v>4</v>
      </c>
      <c r="G1101" s="1581">
        <v>6434000</v>
      </c>
      <c r="H1101" s="1581">
        <f t="shared" si="73"/>
        <v>25736000</v>
      </c>
      <c r="I1101" s="1581">
        <v>4</v>
      </c>
      <c r="J1101" s="1581">
        <v>6755700</v>
      </c>
      <c r="K1101" s="1581">
        <f t="shared" si="74"/>
        <v>27022800</v>
      </c>
      <c r="L1101" s="1581">
        <f t="shared" si="72"/>
        <v>321700</v>
      </c>
      <c r="M1101" s="1581" t="s">
        <v>3354</v>
      </c>
      <c r="N1101" s="1582" t="s">
        <v>3355</v>
      </c>
    </row>
    <row r="1102" spans="1:14">
      <c r="A1102" s="1968">
        <v>935</v>
      </c>
      <c r="B1102" s="1970">
        <v>74</v>
      </c>
      <c r="C1102" s="1971" t="s">
        <v>4382</v>
      </c>
      <c r="D1102" s="1500" t="s">
        <v>4383</v>
      </c>
      <c r="E1102" s="1581" t="s">
        <v>435</v>
      </c>
      <c r="F1102" s="1581">
        <v>2</v>
      </c>
      <c r="G1102" s="1581">
        <v>7077000</v>
      </c>
      <c r="H1102" s="1581">
        <f t="shared" si="73"/>
        <v>14154000</v>
      </c>
      <c r="I1102" s="1581">
        <v>2</v>
      </c>
      <c r="J1102" s="1581">
        <v>7430850</v>
      </c>
      <c r="K1102" s="1581">
        <f t="shared" si="74"/>
        <v>14861700</v>
      </c>
      <c r="L1102" s="1581">
        <f t="shared" si="72"/>
        <v>353850</v>
      </c>
      <c r="M1102" s="1581" t="s">
        <v>3354</v>
      </c>
      <c r="N1102" s="1582" t="s">
        <v>3355</v>
      </c>
    </row>
    <row r="1103" spans="1:14">
      <c r="A1103" s="1501"/>
      <c r="B1103" s="1546"/>
      <c r="C1103" s="1722" t="s">
        <v>958</v>
      </c>
      <c r="D1103" s="1536"/>
      <c r="E1103" s="1536"/>
      <c r="F1103" s="1738"/>
      <c r="G1103" s="1738"/>
      <c r="H1103" s="1547">
        <f>SUM(H1029:H1102)</f>
        <v>4483261000</v>
      </c>
      <c r="I1103" s="1548"/>
      <c r="J1103" s="1584"/>
      <c r="K1103" s="1547">
        <f>SUM(K1029:K1102)</f>
        <v>4707424050</v>
      </c>
      <c r="L1103" s="1547"/>
      <c r="M1103" s="1510"/>
      <c r="N1103" s="1511"/>
    </row>
    <row r="1104" spans="1:14">
      <c r="A1104" s="1512"/>
      <c r="B1104" s="1550"/>
      <c r="C1104" s="1911"/>
      <c r="D1104" s="1515"/>
      <c r="E1104" s="1515"/>
      <c r="F1104" s="1589"/>
      <c r="G1104" s="1589"/>
      <c r="H1104" s="1589"/>
      <c r="I1104" s="1517"/>
      <c r="J1104" s="1586"/>
      <c r="K1104" s="1585"/>
      <c r="L1104" s="1585"/>
    </row>
    <row r="1105" spans="1:14" ht="18.75">
      <c r="A1105" s="1972"/>
      <c r="B1105" s="1972"/>
      <c r="C1105" s="1973"/>
      <c r="D1105" s="1972"/>
      <c r="E1105" s="1972"/>
      <c r="F1105" s="1644"/>
      <c r="G1105" s="1644"/>
      <c r="H1105" s="1644"/>
      <c r="I1105" s="1974"/>
      <c r="J1105" s="1644"/>
      <c r="K1105" s="1644"/>
      <c r="L1105" s="1644"/>
    </row>
    <row r="1106" spans="1:14">
      <c r="A1106" s="2196" t="s">
        <v>4384</v>
      </c>
      <c r="B1106" s="2196"/>
      <c r="C1106" s="2196"/>
      <c r="D1106" s="2196"/>
      <c r="E1106" s="2196"/>
      <c r="F1106" s="2196"/>
      <c r="G1106" s="2196"/>
      <c r="H1106" s="2196"/>
      <c r="I1106" s="2196"/>
      <c r="J1106" s="2196"/>
      <c r="K1106" s="2196"/>
      <c r="L1106" s="1475"/>
    </row>
    <row r="1108" spans="1:14" ht="27">
      <c r="A1108" s="2237" t="s">
        <v>2901</v>
      </c>
      <c r="B1108" s="2199" t="s">
        <v>2902</v>
      </c>
      <c r="C1108" s="2199" t="s">
        <v>2607</v>
      </c>
      <c r="D1108" s="2203" t="s">
        <v>2608</v>
      </c>
      <c r="E1108" s="2199" t="s">
        <v>2609</v>
      </c>
      <c r="F1108" s="2205" t="s">
        <v>2903</v>
      </c>
      <c r="G1108" s="2206"/>
      <c r="H1108" s="2207"/>
      <c r="I1108" s="2205" t="s">
        <v>2904</v>
      </c>
      <c r="J1108" s="2206"/>
      <c r="K1108" s="2207"/>
      <c r="L1108" s="1476" t="s">
        <v>2905</v>
      </c>
      <c r="M1108" s="2197" t="s">
        <v>2906</v>
      </c>
      <c r="N1108" s="2208" t="s">
        <v>2907</v>
      </c>
    </row>
    <row r="1109" spans="1:14">
      <c r="A1109" s="2237"/>
      <c r="B1109" s="2200"/>
      <c r="C1109" s="2200"/>
      <c r="D1109" s="2211"/>
      <c r="E1109" s="2200"/>
      <c r="F1109" s="1477" t="s">
        <v>2908</v>
      </c>
      <c r="G1109" s="1476" t="s">
        <v>2611</v>
      </c>
      <c r="H1109" s="1478" t="s">
        <v>2612</v>
      </c>
      <c r="I1109" s="1477" t="s">
        <v>2908</v>
      </c>
      <c r="J1109" s="1476" t="s">
        <v>2611</v>
      </c>
      <c r="K1109" s="1478" t="s">
        <v>2612</v>
      </c>
      <c r="L1109" s="1865"/>
      <c r="M1109" s="2198"/>
      <c r="N1109" s="2209"/>
    </row>
    <row r="1110" spans="1:14">
      <c r="A1110" s="1488">
        <v>936</v>
      </c>
      <c r="B1110" s="1716">
        <v>1</v>
      </c>
      <c r="C1110" s="1975" t="s">
        <v>4385</v>
      </c>
      <c r="D1110" s="1976" t="s">
        <v>4386</v>
      </c>
      <c r="E1110" s="1715" t="s">
        <v>435</v>
      </c>
      <c r="F1110" s="1560">
        <v>300</v>
      </c>
      <c r="G1110" s="1560">
        <v>3923920.0000000005</v>
      </c>
      <c r="H1110" s="1560">
        <f>G1110*F1110</f>
        <v>1177176000.0000002</v>
      </c>
      <c r="I1110" s="1560">
        <v>300</v>
      </c>
      <c r="J1110" s="1560">
        <v>3924000.0000000005</v>
      </c>
      <c r="K1110" s="1560">
        <f>I1110*J1110</f>
        <v>1177200000.0000002</v>
      </c>
      <c r="L1110" s="1560">
        <f t="shared" ref="L1110:L1114" si="75">J1110-G1110</f>
        <v>80</v>
      </c>
      <c r="M1110" s="1560" t="s">
        <v>4387</v>
      </c>
      <c r="N1110" s="1562" t="s">
        <v>4388</v>
      </c>
    </row>
    <row r="1111" spans="1:14">
      <c r="A1111" s="1715">
        <v>937</v>
      </c>
      <c r="B1111" s="1707">
        <v>2</v>
      </c>
      <c r="C1111" s="1977" t="s">
        <v>4389</v>
      </c>
      <c r="D1111" s="1563" t="s">
        <v>4390</v>
      </c>
      <c r="E1111" s="1488" t="s">
        <v>435</v>
      </c>
      <c r="F1111" s="1560">
        <v>30</v>
      </c>
      <c r="G1111" s="1560">
        <v>1493910.0000000002</v>
      </c>
      <c r="H1111" s="1560">
        <f>G1111*F1111</f>
        <v>44817300.000000007</v>
      </c>
      <c r="I1111" s="1560">
        <v>30</v>
      </c>
      <c r="J1111" s="1560">
        <v>1493954</v>
      </c>
      <c r="K1111" s="1560">
        <f>I1111*J1111</f>
        <v>44818620</v>
      </c>
      <c r="L1111" s="1560">
        <f t="shared" si="75"/>
        <v>43.999999999767169</v>
      </c>
      <c r="M1111" s="1560" t="s">
        <v>4391</v>
      </c>
      <c r="N1111" s="1562" t="s">
        <v>4388</v>
      </c>
    </row>
    <row r="1112" spans="1:14">
      <c r="A1112" s="1488">
        <v>938</v>
      </c>
      <c r="B1112" s="1707">
        <v>3</v>
      </c>
      <c r="C1112" s="1977" t="s">
        <v>4392</v>
      </c>
      <c r="D1112" s="1563" t="s">
        <v>4393</v>
      </c>
      <c r="E1112" s="1488" t="s">
        <v>435</v>
      </c>
      <c r="F1112" s="1560">
        <v>10</v>
      </c>
      <c r="G1112" s="1560">
        <v>1499960.0000000002</v>
      </c>
      <c r="H1112" s="1560">
        <f>G1112*F1112</f>
        <v>14999600.000000002</v>
      </c>
      <c r="I1112" s="1560">
        <v>10</v>
      </c>
      <c r="J1112" s="1560">
        <v>1500000</v>
      </c>
      <c r="K1112" s="1560">
        <f>I1112*J1112</f>
        <v>15000000</v>
      </c>
      <c r="L1112" s="1560">
        <f t="shared" si="75"/>
        <v>39.999999999767169</v>
      </c>
      <c r="M1112" s="1560" t="s">
        <v>4387</v>
      </c>
      <c r="N1112" s="1562" t="s">
        <v>4388</v>
      </c>
    </row>
    <row r="1113" spans="1:14">
      <c r="A1113" s="1715">
        <v>939</v>
      </c>
      <c r="B1113" s="1707">
        <v>4</v>
      </c>
      <c r="C1113" s="1978" t="s">
        <v>4394</v>
      </c>
      <c r="D1113" s="1563" t="s">
        <v>4395</v>
      </c>
      <c r="E1113" s="1488" t="s">
        <v>435</v>
      </c>
      <c r="F1113" s="1560">
        <v>130</v>
      </c>
      <c r="G1113" s="1560">
        <v>4855950</v>
      </c>
      <c r="H1113" s="1560">
        <f>G1113*F1113</f>
        <v>631273500</v>
      </c>
      <c r="I1113" s="1560">
        <v>130</v>
      </c>
      <c r="J1113" s="1560">
        <v>4855950</v>
      </c>
      <c r="K1113" s="1560">
        <f>I1113*J1113</f>
        <v>631273500</v>
      </c>
      <c r="L1113" s="1560">
        <f t="shared" si="75"/>
        <v>0</v>
      </c>
      <c r="M1113" s="1560" t="s">
        <v>4387</v>
      </c>
      <c r="N1113" s="1562" t="s">
        <v>4388</v>
      </c>
    </row>
    <row r="1114" spans="1:14">
      <c r="A1114" s="1488">
        <v>940</v>
      </c>
      <c r="B1114" s="1700">
        <v>5</v>
      </c>
      <c r="C1114" s="1979" t="s">
        <v>4396</v>
      </c>
      <c r="D1114" s="1970" t="s">
        <v>4397</v>
      </c>
      <c r="E1114" s="1699" t="s">
        <v>435</v>
      </c>
      <c r="F1114" s="1560">
        <v>30</v>
      </c>
      <c r="G1114" s="1560">
        <v>13168650.000000002</v>
      </c>
      <c r="H1114" s="1560">
        <f>G1114*F1114</f>
        <v>395059500.00000006</v>
      </c>
      <c r="I1114" s="1560">
        <v>30</v>
      </c>
      <c r="J1114" s="1581">
        <v>13168688.940000001</v>
      </c>
      <c r="K1114" s="1581">
        <f>I1114*J1114</f>
        <v>395060668.20000005</v>
      </c>
      <c r="L1114" s="1581">
        <f t="shared" si="75"/>
        <v>38.939999999478459</v>
      </c>
      <c r="M1114" s="1581" t="s">
        <v>4398</v>
      </c>
      <c r="N1114" s="1582" t="s">
        <v>4388</v>
      </c>
    </row>
    <row r="1115" spans="1:14">
      <c r="A1115" s="1501"/>
      <c r="B1115" s="1546"/>
      <c r="C1115" s="1722" t="s">
        <v>958</v>
      </c>
      <c r="D1115" s="1536"/>
      <c r="E1115" s="1536"/>
      <c r="F1115" s="1738"/>
      <c r="G1115" s="1738"/>
      <c r="H1115" s="1547">
        <f>SUM(H1110:H1114)</f>
        <v>2263325900.0000005</v>
      </c>
      <c r="I1115" s="1667"/>
      <c r="J1115" s="1583"/>
      <c r="K1115" s="1547">
        <f>SUM(K1110:K1114)</f>
        <v>2263352788.2000003</v>
      </c>
      <c r="L1115" s="1547"/>
      <c r="M1115" s="1510"/>
      <c r="N1115" s="1511"/>
    </row>
    <row r="1116" spans="1:14">
      <c r="A1116" s="1512"/>
      <c r="B1116" s="1550"/>
      <c r="C1116" s="1911"/>
      <c r="D1116" s="1515"/>
      <c r="E1116" s="1515"/>
      <c r="F1116" s="1589"/>
      <c r="G1116" s="1589"/>
      <c r="H1116" s="1589"/>
      <c r="I1116" s="1517"/>
      <c r="J1116" s="1586"/>
      <c r="K1116" s="1585"/>
      <c r="L1116" s="1585"/>
    </row>
    <row r="1117" spans="1:14">
      <c r="A1117" s="1512"/>
      <c r="B1117" s="1550"/>
      <c r="C1117" s="1911"/>
      <c r="D1117" s="1515"/>
      <c r="E1117" s="1515"/>
      <c r="F1117" s="1589"/>
      <c r="G1117" s="1589"/>
      <c r="H1117" s="1589"/>
      <c r="I1117" s="1517"/>
      <c r="J1117" s="1586"/>
      <c r="K1117" s="1585"/>
      <c r="L1117" s="1585"/>
    </row>
    <row r="1118" spans="1:14">
      <c r="A1118" s="1512"/>
      <c r="B1118" s="1550"/>
      <c r="C1118" s="1911"/>
      <c r="D1118" s="1515"/>
      <c r="E1118" s="1515"/>
      <c r="F1118" s="1589"/>
      <c r="G1118" s="1589"/>
      <c r="H1118" s="1589"/>
      <c r="I1118" s="1517"/>
      <c r="J1118" s="1586"/>
      <c r="K1118" s="1585"/>
      <c r="L1118" s="1585"/>
    </row>
    <row r="1119" spans="1:14">
      <c r="A1119" s="1512"/>
      <c r="B1119" s="1550"/>
      <c r="C1119" s="1911"/>
      <c r="D1119" s="1515"/>
      <c r="E1119" s="1515"/>
      <c r="F1119" s="1589"/>
      <c r="G1119" s="1589"/>
      <c r="H1119" s="1589"/>
      <c r="I1119" s="2239"/>
      <c r="J1119" s="2239"/>
      <c r="K1119" s="2239"/>
      <c r="L1119" s="1980"/>
    </row>
    <row r="1120" spans="1:14">
      <c r="A1120" s="2196" t="s">
        <v>4399</v>
      </c>
      <c r="B1120" s="2196"/>
      <c r="C1120" s="2196"/>
      <c r="D1120" s="2196"/>
      <c r="E1120" s="2196"/>
      <c r="F1120" s="2196"/>
      <c r="G1120" s="2196"/>
      <c r="H1120" s="2196"/>
      <c r="I1120" s="2196"/>
      <c r="J1120" s="2196"/>
      <c r="K1120" s="2196"/>
      <c r="L1120" s="1475"/>
    </row>
    <row r="1122" spans="1:14" ht="27">
      <c r="A1122" s="2197" t="s">
        <v>2901</v>
      </c>
      <c r="B1122" s="2199" t="s">
        <v>2902</v>
      </c>
      <c r="C1122" s="2199" t="s">
        <v>2607</v>
      </c>
      <c r="D1122" s="2203" t="s">
        <v>2608</v>
      </c>
      <c r="E1122" s="2199" t="s">
        <v>2609</v>
      </c>
      <c r="F1122" s="2205" t="s">
        <v>2903</v>
      </c>
      <c r="G1122" s="2206"/>
      <c r="H1122" s="2207"/>
      <c r="I1122" s="2205" t="s">
        <v>2904</v>
      </c>
      <c r="J1122" s="2206"/>
      <c r="K1122" s="2207"/>
      <c r="L1122" s="1476" t="s">
        <v>2905</v>
      </c>
      <c r="M1122" s="2197" t="s">
        <v>2906</v>
      </c>
      <c r="N1122" s="2208" t="s">
        <v>2907</v>
      </c>
    </row>
    <row r="1123" spans="1:14">
      <c r="A1123" s="2198"/>
      <c r="B1123" s="2200"/>
      <c r="C1123" s="2200"/>
      <c r="D1123" s="2211"/>
      <c r="E1123" s="2200"/>
      <c r="F1123" s="1477" t="s">
        <v>2908</v>
      </c>
      <c r="G1123" s="1476" t="s">
        <v>2611</v>
      </c>
      <c r="H1123" s="1478" t="s">
        <v>2612</v>
      </c>
      <c r="I1123" s="1477" t="s">
        <v>2908</v>
      </c>
      <c r="J1123" s="1476" t="s">
        <v>2611</v>
      </c>
      <c r="K1123" s="1478" t="s">
        <v>2612</v>
      </c>
      <c r="L1123" s="1865"/>
      <c r="M1123" s="2198"/>
      <c r="N1123" s="2209"/>
    </row>
    <row r="1124" spans="1:14">
      <c r="A1124" s="1981">
        <v>941</v>
      </c>
      <c r="B1124" s="1982">
        <v>1</v>
      </c>
      <c r="C1124" s="1983" t="s">
        <v>4400</v>
      </c>
      <c r="D1124" s="1984" t="s">
        <v>3905</v>
      </c>
      <c r="E1124" s="1984" t="s">
        <v>435</v>
      </c>
      <c r="F1124" s="1985">
        <v>50</v>
      </c>
      <c r="G1124" s="1985">
        <v>23079105</v>
      </c>
      <c r="H1124" s="1985">
        <f>G1124*F1124</f>
        <v>1153955250</v>
      </c>
      <c r="I1124" s="1985">
        <v>50</v>
      </c>
      <c r="J1124" s="1985">
        <v>23079119.999999996</v>
      </c>
      <c r="K1124" s="1985">
        <v>1153955999.9999998</v>
      </c>
      <c r="L1124" s="1581">
        <f t="shared" ref="L1124:L1187" si="76">J1124-G1124</f>
        <v>14.99999999627471</v>
      </c>
      <c r="M1124" s="1986" t="s">
        <v>4387</v>
      </c>
      <c r="N1124" s="1987" t="s">
        <v>4388</v>
      </c>
    </row>
    <row r="1125" spans="1:14">
      <c r="A1125" s="1981">
        <v>942</v>
      </c>
      <c r="B1125" s="1988">
        <v>2</v>
      </c>
      <c r="C1125" s="1989" t="s">
        <v>4401</v>
      </c>
      <c r="D1125" s="1990" t="s">
        <v>3905</v>
      </c>
      <c r="E1125" s="1990" t="s">
        <v>435</v>
      </c>
      <c r="F1125" s="1991">
        <v>6</v>
      </c>
      <c r="G1125" s="1991">
        <v>23079105</v>
      </c>
      <c r="H1125" s="1991">
        <f t="shared" ref="H1125:H1188" si="77">G1125*F1125</f>
        <v>138474630</v>
      </c>
      <c r="I1125" s="1991">
        <v>6</v>
      </c>
      <c r="J1125" s="1991">
        <v>23079119.999999996</v>
      </c>
      <c r="K1125" s="1991">
        <v>138474719.99999997</v>
      </c>
      <c r="L1125" s="1581">
        <f t="shared" si="76"/>
        <v>14.99999999627471</v>
      </c>
      <c r="M1125" s="1992" t="s">
        <v>4387</v>
      </c>
      <c r="N1125" s="1993" t="s">
        <v>4388</v>
      </c>
    </row>
    <row r="1126" spans="1:14">
      <c r="A1126" s="1981">
        <v>943</v>
      </c>
      <c r="B1126" s="1988">
        <v>3</v>
      </c>
      <c r="C1126" s="1989" t="s">
        <v>4402</v>
      </c>
      <c r="D1126" s="1990" t="s">
        <v>4403</v>
      </c>
      <c r="E1126" s="1990" t="s">
        <v>435</v>
      </c>
      <c r="F1126" s="1991">
        <v>2</v>
      </c>
      <c r="G1126" s="1991">
        <v>5769750</v>
      </c>
      <c r="H1126" s="1991">
        <f t="shared" si="77"/>
        <v>11539500</v>
      </c>
      <c r="I1126" s="1991">
        <v>2</v>
      </c>
      <c r="J1126" s="1991">
        <v>5769779.9999999991</v>
      </c>
      <c r="K1126" s="1991">
        <v>11539559.999999998</v>
      </c>
      <c r="L1126" s="1581">
        <f t="shared" si="76"/>
        <v>29.999999999068677</v>
      </c>
      <c r="M1126" s="1992" t="s">
        <v>4387</v>
      </c>
      <c r="N1126" s="1993" t="s">
        <v>4388</v>
      </c>
    </row>
    <row r="1127" spans="1:14">
      <c r="A1127" s="1981">
        <v>944</v>
      </c>
      <c r="B1127" s="1988">
        <v>4</v>
      </c>
      <c r="C1127" s="1989" t="s">
        <v>4404</v>
      </c>
      <c r="D1127" s="1990" t="s">
        <v>4405</v>
      </c>
      <c r="E1127" s="1990" t="s">
        <v>435</v>
      </c>
      <c r="F1127" s="1991">
        <v>25</v>
      </c>
      <c r="G1127" s="1991">
        <v>6346725</v>
      </c>
      <c r="H1127" s="1991">
        <f t="shared" si="77"/>
        <v>158668125</v>
      </c>
      <c r="I1127" s="1991">
        <v>25</v>
      </c>
      <c r="J1127" s="1991">
        <v>6346757.9999999991</v>
      </c>
      <c r="K1127" s="1991">
        <v>158668949.99999997</v>
      </c>
      <c r="L1127" s="1581">
        <f t="shared" si="76"/>
        <v>32.999999999068677</v>
      </c>
      <c r="M1127" s="1992" t="s">
        <v>4387</v>
      </c>
      <c r="N1127" s="1993" t="s">
        <v>4388</v>
      </c>
    </row>
    <row r="1128" spans="1:14">
      <c r="A1128" s="1981">
        <v>945</v>
      </c>
      <c r="B1128" s="1988">
        <v>5</v>
      </c>
      <c r="C1128" s="1989" t="s">
        <v>4406</v>
      </c>
      <c r="D1128" s="1990" t="s">
        <v>4407</v>
      </c>
      <c r="E1128" s="1990" t="s">
        <v>435</v>
      </c>
      <c r="F1128" s="1991">
        <v>2</v>
      </c>
      <c r="G1128" s="1991">
        <v>1442385</v>
      </c>
      <c r="H1128" s="1991">
        <f t="shared" si="77"/>
        <v>2884770</v>
      </c>
      <c r="I1128" s="1991">
        <v>2</v>
      </c>
      <c r="J1128" s="1991">
        <v>1442445</v>
      </c>
      <c r="K1128" s="1991">
        <v>2884890</v>
      </c>
      <c r="L1128" s="1581">
        <f t="shared" si="76"/>
        <v>60</v>
      </c>
      <c r="M1128" s="1992" t="s">
        <v>4387</v>
      </c>
      <c r="N1128" s="1993" t="s">
        <v>4388</v>
      </c>
    </row>
    <row r="1129" spans="1:14">
      <c r="A1129" s="1981">
        <v>946</v>
      </c>
      <c r="B1129" s="1988">
        <v>6</v>
      </c>
      <c r="C1129" s="1989" t="s">
        <v>4408</v>
      </c>
      <c r="D1129" s="1990" t="s">
        <v>4405</v>
      </c>
      <c r="E1129" s="1990" t="s">
        <v>435</v>
      </c>
      <c r="F1129" s="1991">
        <v>3</v>
      </c>
      <c r="G1129" s="1991">
        <v>6346725</v>
      </c>
      <c r="H1129" s="1991">
        <f t="shared" si="77"/>
        <v>19040175</v>
      </c>
      <c r="I1129" s="1991">
        <v>3</v>
      </c>
      <c r="J1129" s="1991">
        <v>6346757.9999999991</v>
      </c>
      <c r="K1129" s="1991">
        <v>19040273.999999996</v>
      </c>
      <c r="L1129" s="1581">
        <f t="shared" si="76"/>
        <v>32.999999999068677</v>
      </c>
      <c r="M1129" s="1992" t="s">
        <v>4387</v>
      </c>
      <c r="N1129" s="1993" t="s">
        <v>4388</v>
      </c>
    </row>
    <row r="1130" spans="1:14">
      <c r="A1130" s="1981">
        <v>947</v>
      </c>
      <c r="B1130" s="1988">
        <v>7</v>
      </c>
      <c r="C1130" s="1989" t="s">
        <v>4409</v>
      </c>
      <c r="D1130" s="1990" t="s">
        <v>4410</v>
      </c>
      <c r="E1130" s="1990" t="s">
        <v>435</v>
      </c>
      <c r="F1130" s="1991">
        <v>1</v>
      </c>
      <c r="G1130" s="1991">
        <v>1442385</v>
      </c>
      <c r="H1130" s="1991">
        <f t="shared" si="77"/>
        <v>1442385</v>
      </c>
      <c r="I1130" s="1991">
        <v>1</v>
      </c>
      <c r="J1130" s="1991">
        <v>1442445</v>
      </c>
      <c r="K1130" s="1991">
        <v>1442445</v>
      </c>
      <c r="L1130" s="1581">
        <f t="shared" si="76"/>
        <v>60</v>
      </c>
      <c r="M1130" s="1992" t="s">
        <v>4387</v>
      </c>
      <c r="N1130" s="1993" t="s">
        <v>4388</v>
      </c>
    </row>
    <row r="1131" spans="1:14">
      <c r="A1131" s="1981">
        <v>948</v>
      </c>
      <c r="B1131" s="1988">
        <v>8</v>
      </c>
      <c r="C1131" s="1989" t="s">
        <v>4411</v>
      </c>
      <c r="D1131" s="1990" t="s">
        <v>4405</v>
      </c>
      <c r="E1131" s="1990" t="s">
        <v>435</v>
      </c>
      <c r="F1131" s="1991">
        <v>25</v>
      </c>
      <c r="G1131" s="1991">
        <v>6346725</v>
      </c>
      <c r="H1131" s="1991">
        <f t="shared" si="77"/>
        <v>158668125</v>
      </c>
      <c r="I1131" s="1991">
        <v>25</v>
      </c>
      <c r="J1131" s="1991">
        <v>6346757.9999999991</v>
      </c>
      <c r="K1131" s="1991">
        <v>158668949.99999997</v>
      </c>
      <c r="L1131" s="1581">
        <f t="shared" si="76"/>
        <v>32.999999999068677</v>
      </c>
      <c r="M1131" s="1992" t="s">
        <v>4387</v>
      </c>
      <c r="N1131" s="1993" t="s">
        <v>4388</v>
      </c>
    </row>
    <row r="1132" spans="1:14">
      <c r="A1132" s="1981">
        <v>949</v>
      </c>
      <c r="B1132" s="1988">
        <v>9</v>
      </c>
      <c r="C1132" s="1989" t="s">
        <v>4412</v>
      </c>
      <c r="D1132" s="1990" t="s">
        <v>4410</v>
      </c>
      <c r="E1132" s="1990" t="s">
        <v>435</v>
      </c>
      <c r="F1132" s="1991">
        <v>2</v>
      </c>
      <c r="G1132" s="1991">
        <v>1442385</v>
      </c>
      <c r="H1132" s="1991">
        <f t="shared" si="77"/>
        <v>2884770</v>
      </c>
      <c r="I1132" s="1991">
        <v>2</v>
      </c>
      <c r="J1132" s="1991">
        <v>1442445</v>
      </c>
      <c r="K1132" s="1991">
        <v>2884890</v>
      </c>
      <c r="L1132" s="1581">
        <f t="shared" si="76"/>
        <v>60</v>
      </c>
      <c r="M1132" s="1992" t="s">
        <v>4387</v>
      </c>
      <c r="N1132" s="1993" t="s">
        <v>4388</v>
      </c>
    </row>
    <row r="1133" spans="1:14">
      <c r="A1133" s="1981">
        <v>950</v>
      </c>
      <c r="B1133" s="1988">
        <v>10</v>
      </c>
      <c r="C1133" s="1989" t="s">
        <v>4413</v>
      </c>
      <c r="D1133" s="1990" t="s">
        <v>4405</v>
      </c>
      <c r="E1133" s="1990" t="s">
        <v>435</v>
      </c>
      <c r="F1133" s="1991">
        <v>25</v>
      </c>
      <c r="G1133" s="1991">
        <v>6346725</v>
      </c>
      <c r="H1133" s="1991">
        <f t="shared" si="77"/>
        <v>158668125</v>
      </c>
      <c r="I1133" s="1991">
        <v>25</v>
      </c>
      <c r="J1133" s="1991">
        <v>6346757.9999999991</v>
      </c>
      <c r="K1133" s="1991">
        <v>158668949.99999997</v>
      </c>
      <c r="L1133" s="1581">
        <f t="shared" si="76"/>
        <v>32.999999999068677</v>
      </c>
      <c r="M1133" s="1992" t="s">
        <v>4387</v>
      </c>
      <c r="N1133" s="1993" t="s">
        <v>4388</v>
      </c>
    </row>
    <row r="1134" spans="1:14">
      <c r="A1134" s="1981">
        <v>951</v>
      </c>
      <c r="B1134" s="1988">
        <v>11</v>
      </c>
      <c r="C1134" s="1989" t="s">
        <v>4414</v>
      </c>
      <c r="D1134" s="1990" t="s">
        <v>4410</v>
      </c>
      <c r="E1134" s="1990" t="s">
        <v>435</v>
      </c>
      <c r="F1134" s="1991">
        <v>2</v>
      </c>
      <c r="G1134" s="1991">
        <v>1442385</v>
      </c>
      <c r="H1134" s="1991">
        <f t="shared" si="77"/>
        <v>2884770</v>
      </c>
      <c r="I1134" s="1991">
        <v>2</v>
      </c>
      <c r="J1134" s="1991">
        <v>1442445</v>
      </c>
      <c r="K1134" s="1991">
        <v>2884890</v>
      </c>
      <c r="L1134" s="1581">
        <f t="shared" si="76"/>
        <v>60</v>
      </c>
      <c r="M1134" s="1992" t="s">
        <v>4387</v>
      </c>
      <c r="N1134" s="1993" t="s">
        <v>4388</v>
      </c>
    </row>
    <row r="1135" spans="1:14">
      <c r="A1135" s="1981">
        <v>952</v>
      </c>
      <c r="B1135" s="1988">
        <v>12</v>
      </c>
      <c r="C1135" s="1989" t="s">
        <v>4415</v>
      </c>
      <c r="D1135" s="1990" t="s">
        <v>4405</v>
      </c>
      <c r="E1135" s="1990" t="s">
        <v>435</v>
      </c>
      <c r="F1135" s="1991">
        <v>3</v>
      </c>
      <c r="G1135" s="1991">
        <v>6346725</v>
      </c>
      <c r="H1135" s="1991">
        <f t="shared" si="77"/>
        <v>19040175</v>
      </c>
      <c r="I1135" s="1991">
        <v>3</v>
      </c>
      <c r="J1135" s="1991">
        <v>6346757.9999999991</v>
      </c>
      <c r="K1135" s="1991">
        <v>19040273.999999996</v>
      </c>
      <c r="L1135" s="1581">
        <f t="shared" si="76"/>
        <v>32.999999999068677</v>
      </c>
      <c r="M1135" s="1992" t="s">
        <v>4387</v>
      </c>
      <c r="N1135" s="1993" t="s">
        <v>4388</v>
      </c>
    </row>
    <row r="1136" spans="1:14">
      <c r="A1136" s="1981">
        <v>953</v>
      </c>
      <c r="B1136" s="1988">
        <v>13</v>
      </c>
      <c r="C1136" s="1989" t="s">
        <v>4416</v>
      </c>
      <c r="D1136" s="1990" t="s">
        <v>4410</v>
      </c>
      <c r="E1136" s="1990" t="s">
        <v>435</v>
      </c>
      <c r="F1136" s="1991">
        <v>1</v>
      </c>
      <c r="G1136" s="1991">
        <v>1442385</v>
      </c>
      <c r="H1136" s="1991">
        <f t="shared" si="77"/>
        <v>1442385</v>
      </c>
      <c r="I1136" s="1991">
        <v>1</v>
      </c>
      <c r="J1136" s="1991">
        <v>1442445</v>
      </c>
      <c r="K1136" s="1991">
        <v>1442445</v>
      </c>
      <c r="L1136" s="1581">
        <f t="shared" si="76"/>
        <v>60</v>
      </c>
      <c r="M1136" s="1992" t="s">
        <v>4387</v>
      </c>
      <c r="N1136" s="1993" t="s">
        <v>4388</v>
      </c>
    </row>
    <row r="1137" spans="1:14">
      <c r="A1137" s="1981">
        <v>954</v>
      </c>
      <c r="B1137" s="1988">
        <v>14</v>
      </c>
      <c r="C1137" s="1989" t="s">
        <v>4417</v>
      </c>
      <c r="D1137" s="1990" t="s">
        <v>3905</v>
      </c>
      <c r="E1137" s="1990" t="s">
        <v>435</v>
      </c>
      <c r="F1137" s="1991">
        <v>10</v>
      </c>
      <c r="G1137" s="1991">
        <v>11217885</v>
      </c>
      <c r="H1137" s="1991">
        <f t="shared" si="77"/>
        <v>112178850</v>
      </c>
      <c r="I1137" s="1991">
        <v>10</v>
      </c>
      <c r="J1137" s="1991">
        <v>11217894.764999999</v>
      </c>
      <c r="K1137" s="1991">
        <v>112178947.64999999</v>
      </c>
      <c r="L1137" s="1581">
        <f t="shared" si="76"/>
        <v>9.7649999987334013</v>
      </c>
      <c r="M1137" s="1992" t="s">
        <v>4387</v>
      </c>
      <c r="N1137" s="1993" t="s">
        <v>4388</v>
      </c>
    </row>
    <row r="1138" spans="1:14">
      <c r="A1138" s="1981">
        <v>955</v>
      </c>
      <c r="B1138" s="1988">
        <v>15</v>
      </c>
      <c r="C1138" s="1989" t="s">
        <v>4418</v>
      </c>
      <c r="D1138" s="1990" t="s">
        <v>4410</v>
      </c>
      <c r="E1138" s="1990" t="s">
        <v>435</v>
      </c>
      <c r="F1138" s="1991">
        <v>2</v>
      </c>
      <c r="G1138" s="1991">
        <v>1442385</v>
      </c>
      <c r="H1138" s="1991">
        <f t="shared" si="77"/>
        <v>2884770</v>
      </c>
      <c r="I1138" s="1991">
        <v>2</v>
      </c>
      <c r="J1138" s="1991">
        <v>1442445</v>
      </c>
      <c r="K1138" s="1991">
        <v>2884890</v>
      </c>
      <c r="L1138" s="1581">
        <f t="shared" si="76"/>
        <v>60</v>
      </c>
      <c r="M1138" s="1992" t="s">
        <v>4387</v>
      </c>
      <c r="N1138" s="1993" t="s">
        <v>4388</v>
      </c>
    </row>
    <row r="1139" spans="1:14">
      <c r="A1139" s="1981">
        <v>956</v>
      </c>
      <c r="B1139" s="1988">
        <v>16</v>
      </c>
      <c r="C1139" s="1989" t="s">
        <v>4419</v>
      </c>
      <c r="D1139" s="1990" t="s">
        <v>3905</v>
      </c>
      <c r="E1139" s="1990" t="s">
        <v>435</v>
      </c>
      <c r="F1139" s="1991">
        <v>2</v>
      </c>
      <c r="G1139" s="1991">
        <v>6346725</v>
      </c>
      <c r="H1139" s="1991">
        <f t="shared" si="77"/>
        <v>12693450</v>
      </c>
      <c r="I1139" s="1991">
        <v>2</v>
      </c>
      <c r="J1139" s="1991">
        <v>6346757.9999999991</v>
      </c>
      <c r="K1139" s="1991">
        <v>12693515.999999998</v>
      </c>
      <c r="L1139" s="1581">
        <f t="shared" si="76"/>
        <v>32.999999999068677</v>
      </c>
      <c r="M1139" s="1992" t="s">
        <v>4387</v>
      </c>
      <c r="N1139" s="1993" t="s">
        <v>4388</v>
      </c>
    </row>
    <row r="1140" spans="1:14">
      <c r="A1140" s="1981">
        <v>957</v>
      </c>
      <c r="B1140" s="1988">
        <v>17</v>
      </c>
      <c r="C1140" s="1989" t="s">
        <v>4420</v>
      </c>
      <c r="D1140" s="1990" t="s">
        <v>4421</v>
      </c>
      <c r="E1140" s="1990" t="s">
        <v>435</v>
      </c>
      <c r="F1140" s="1991">
        <v>12</v>
      </c>
      <c r="G1140" s="1991">
        <v>2598960</v>
      </c>
      <c r="H1140" s="1991">
        <f t="shared" si="77"/>
        <v>31187520</v>
      </c>
      <c r="I1140" s="1991">
        <v>12</v>
      </c>
      <c r="J1140" s="1991">
        <v>2599000</v>
      </c>
      <c r="K1140" s="1991">
        <v>31187999.999999993</v>
      </c>
      <c r="L1140" s="1581">
        <f t="shared" si="76"/>
        <v>40</v>
      </c>
      <c r="M1140" s="1992" t="s">
        <v>4387</v>
      </c>
      <c r="N1140" s="1993" t="s">
        <v>4388</v>
      </c>
    </row>
    <row r="1141" spans="1:14">
      <c r="A1141" s="1981">
        <v>958</v>
      </c>
      <c r="B1141" s="1988">
        <v>18</v>
      </c>
      <c r="C1141" s="1989" t="s">
        <v>4422</v>
      </c>
      <c r="D1141" s="1990" t="s">
        <v>4421</v>
      </c>
      <c r="E1141" s="1990" t="s">
        <v>435</v>
      </c>
      <c r="F1141" s="1991">
        <v>3</v>
      </c>
      <c r="G1141" s="1991">
        <v>2598960</v>
      </c>
      <c r="H1141" s="1991">
        <f t="shared" si="77"/>
        <v>7796880</v>
      </c>
      <c r="I1141" s="1991">
        <v>3</v>
      </c>
      <c r="J1141" s="1991">
        <v>2599000</v>
      </c>
      <c r="K1141" s="1991">
        <v>7796999.9999999981</v>
      </c>
      <c r="L1141" s="1581">
        <f t="shared" si="76"/>
        <v>40</v>
      </c>
      <c r="M1141" s="1992" t="s">
        <v>4387</v>
      </c>
      <c r="N1141" s="1993" t="s">
        <v>4388</v>
      </c>
    </row>
    <row r="1142" spans="1:14">
      <c r="A1142" s="1981">
        <v>959</v>
      </c>
      <c r="B1142" s="1988">
        <v>19</v>
      </c>
      <c r="C1142" s="1989" t="s">
        <v>4423</v>
      </c>
      <c r="D1142" s="1990" t="s">
        <v>3905</v>
      </c>
      <c r="E1142" s="1990" t="s">
        <v>435</v>
      </c>
      <c r="F1142" s="1991">
        <v>15</v>
      </c>
      <c r="G1142" s="1991">
        <v>6346725</v>
      </c>
      <c r="H1142" s="1991">
        <f t="shared" si="77"/>
        <v>95200875</v>
      </c>
      <c r="I1142" s="1991">
        <v>15</v>
      </c>
      <c r="J1142" s="1991">
        <v>6346757.9999999991</v>
      </c>
      <c r="K1142" s="1991">
        <v>95201369.999999985</v>
      </c>
      <c r="L1142" s="1581">
        <f t="shared" si="76"/>
        <v>32.999999999068677</v>
      </c>
      <c r="M1142" s="1992" t="s">
        <v>4387</v>
      </c>
      <c r="N1142" s="1993" t="s">
        <v>4388</v>
      </c>
    </row>
    <row r="1143" spans="1:14">
      <c r="A1143" s="1981">
        <v>960</v>
      </c>
      <c r="B1143" s="1988">
        <v>20</v>
      </c>
      <c r="C1143" s="1989" t="s">
        <v>4424</v>
      </c>
      <c r="D1143" s="1990" t="s">
        <v>4425</v>
      </c>
      <c r="E1143" s="1990" t="s">
        <v>435</v>
      </c>
      <c r="F1143" s="1991">
        <v>3</v>
      </c>
      <c r="G1143" s="1991">
        <v>9087330</v>
      </c>
      <c r="H1143" s="1991">
        <f t="shared" si="77"/>
        <v>27261990</v>
      </c>
      <c r="I1143" s="1991">
        <v>3</v>
      </c>
      <c r="J1143" s="1991">
        <v>9087403.4999999981</v>
      </c>
      <c r="K1143" s="1991">
        <v>27262210.499999993</v>
      </c>
      <c r="L1143" s="1581">
        <f t="shared" si="76"/>
        <v>73.499999998137355</v>
      </c>
      <c r="M1143" s="1992" t="s">
        <v>4387</v>
      </c>
      <c r="N1143" s="1993" t="s">
        <v>4388</v>
      </c>
    </row>
    <row r="1144" spans="1:14">
      <c r="A1144" s="1981">
        <v>961</v>
      </c>
      <c r="B1144" s="1988">
        <v>21</v>
      </c>
      <c r="C1144" s="1989" t="s">
        <v>4426</v>
      </c>
      <c r="D1144" s="1990" t="s">
        <v>3905</v>
      </c>
      <c r="E1144" s="1990" t="s">
        <v>435</v>
      </c>
      <c r="F1144" s="1991">
        <v>15</v>
      </c>
      <c r="G1144" s="1991">
        <v>32487420</v>
      </c>
      <c r="H1144" s="1991">
        <f t="shared" si="77"/>
        <v>487311300</v>
      </c>
      <c r="I1144" s="1991">
        <v>15</v>
      </c>
      <c r="J1144" s="1991">
        <v>32487499.999999993</v>
      </c>
      <c r="K1144" s="1991">
        <v>487312499.99999988</v>
      </c>
      <c r="L1144" s="1581">
        <f t="shared" si="76"/>
        <v>79.999999992549419</v>
      </c>
      <c r="M1144" s="1992" t="s">
        <v>4387</v>
      </c>
      <c r="N1144" s="1993" t="s">
        <v>4388</v>
      </c>
    </row>
    <row r="1145" spans="1:14">
      <c r="A1145" s="1981">
        <v>962</v>
      </c>
      <c r="B1145" s="1988">
        <v>22</v>
      </c>
      <c r="C1145" s="1989" t="s">
        <v>4427</v>
      </c>
      <c r="D1145" s="1990" t="s">
        <v>3905</v>
      </c>
      <c r="E1145" s="1990" t="s">
        <v>435</v>
      </c>
      <c r="F1145" s="1991">
        <v>20</v>
      </c>
      <c r="G1145" s="1991">
        <v>4759965</v>
      </c>
      <c r="H1145" s="1991">
        <f t="shared" si="77"/>
        <v>95199300</v>
      </c>
      <c r="I1145" s="1991">
        <v>20</v>
      </c>
      <c r="J1145" s="1991">
        <v>4760068.5</v>
      </c>
      <c r="K1145" s="1991">
        <v>95201370</v>
      </c>
      <c r="L1145" s="1581">
        <f t="shared" si="76"/>
        <v>103.5</v>
      </c>
      <c r="M1145" s="1992" t="s">
        <v>4387</v>
      </c>
      <c r="N1145" s="1993" t="s">
        <v>4388</v>
      </c>
    </row>
    <row r="1146" spans="1:14">
      <c r="A1146" s="1981">
        <v>963</v>
      </c>
      <c r="B1146" s="1988">
        <v>23</v>
      </c>
      <c r="C1146" s="1989" t="s">
        <v>4428</v>
      </c>
      <c r="D1146" s="1990" t="s">
        <v>4410</v>
      </c>
      <c r="E1146" s="1990" t="s">
        <v>435</v>
      </c>
      <c r="F1146" s="1991">
        <v>2</v>
      </c>
      <c r="G1146" s="1991">
        <v>1442385</v>
      </c>
      <c r="H1146" s="1991">
        <f t="shared" si="77"/>
        <v>2884770</v>
      </c>
      <c r="I1146" s="1991">
        <v>2</v>
      </c>
      <c r="J1146" s="1991">
        <v>1442445</v>
      </c>
      <c r="K1146" s="1991">
        <v>2884890</v>
      </c>
      <c r="L1146" s="1581">
        <f t="shared" si="76"/>
        <v>60</v>
      </c>
      <c r="M1146" s="1992" t="s">
        <v>4387</v>
      </c>
      <c r="N1146" s="1993" t="s">
        <v>4388</v>
      </c>
    </row>
    <row r="1147" spans="1:14">
      <c r="A1147" s="1981">
        <v>964</v>
      </c>
      <c r="B1147" s="1988">
        <v>24</v>
      </c>
      <c r="C1147" s="1989" t="s">
        <v>4429</v>
      </c>
      <c r="D1147" s="1990" t="s">
        <v>3905</v>
      </c>
      <c r="E1147" s="1990" t="s">
        <v>435</v>
      </c>
      <c r="F1147" s="1991">
        <v>4</v>
      </c>
      <c r="G1147" s="1991">
        <v>4413780</v>
      </c>
      <c r="H1147" s="1991">
        <f t="shared" si="77"/>
        <v>17655120</v>
      </c>
      <c r="I1147" s="1991">
        <v>4</v>
      </c>
      <c r="J1147" s="1991">
        <v>4413881.7</v>
      </c>
      <c r="K1147" s="1991">
        <v>17655526.799999997</v>
      </c>
      <c r="L1147" s="1581">
        <f t="shared" si="76"/>
        <v>101.70000000018626</v>
      </c>
      <c r="M1147" s="1992" t="s">
        <v>4387</v>
      </c>
      <c r="N1147" s="1993" t="s">
        <v>4388</v>
      </c>
    </row>
    <row r="1148" spans="1:14">
      <c r="A1148" s="1981">
        <v>965</v>
      </c>
      <c r="B1148" s="1988">
        <v>25</v>
      </c>
      <c r="C1148" s="1989" t="s">
        <v>4430</v>
      </c>
      <c r="D1148" s="1990" t="s">
        <v>4410</v>
      </c>
      <c r="E1148" s="1990" t="s">
        <v>435</v>
      </c>
      <c r="F1148" s="1991">
        <v>2</v>
      </c>
      <c r="G1148" s="1991">
        <v>2524200</v>
      </c>
      <c r="H1148" s="1991">
        <f t="shared" si="77"/>
        <v>5048400</v>
      </c>
      <c r="I1148" s="1991">
        <v>2</v>
      </c>
      <c r="J1148" s="1991">
        <v>2524278.75</v>
      </c>
      <c r="K1148" s="1991">
        <v>5048557.5</v>
      </c>
      <c r="L1148" s="1581">
        <f t="shared" si="76"/>
        <v>78.75</v>
      </c>
      <c r="M1148" s="1992" t="s">
        <v>4387</v>
      </c>
      <c r="N1148" s="1993" t="s">
        <v>4388</v>
      </c>
    </row>
    <row r="1149" spans="1:14">
      <c r="A1149" s="1981">
        <v>966</v>
      </c>
      <c r="B1149" s="1988">
        <v>26</v>
      </c>
      <c r="C1149" s="1989" t="s">
        <v>4431</v>
      </c>
      <c r="D1149" s="1990" t="s">
        <v>3905</v>
      </c>
      <c r="E1149" s="1990" t="s">
        <v>435</v>
      </c>
      <c r="F1149" s="1991">
        <v>4</v>
      </c>
      <c r="G1149" s="1991">
        <v>4673445</v>
      </c>
      <c r="H1149" s="1991">
        <f t="shared" si="77"/>
        <v>18693780</v>
      </c>
      <c r="I1149" s="1991">
        <v>4</v>
      </c>
      <c r="J1149" s="1991">
        <v>4673521.8</v>
      </c>
      <c r="K1149" s="1991">
        <v>18694087.199999996</v>
      </c>
      <c r="L1149" s="1581">
        <f t="shared" si="76"/>
        <v>76.799999999813735</v>
      </c>
      <c r="M1149" s="1992" t="s">
        <v>4387</v>
      </c>
      <c r="N1149" s="1993" t="s">
        <v>4388</v>
      </c>
    </row>
    <row r="1150" spans="1:14">
      <c r="A1150" s="1981">
        <v>967</v>
      </c>
      <c r="B1150" s="1988">
        <v>27</v>
      </c>
      <c r="C1150" s="1989" t="s">
        <v>4432</v>
      </c>
      <c r="D1150" s="1990" t="s">
        <v>4410</v>
      </c>
      <c r="E1150" s="1990" t="s">
        <v>435</v>
      </c>
      <c r="F1150" s="1991">
        <v>2</v>
      </c>
      <c r="G1150" s="1991">
        <v>1442385</v>
      </c>
      <c r="H1150" s="1991">
        <f t="shared" si="77"/>
        <v>2884770</v>
      </c>
      <c r="I1150" s="1991">
        <v>2</v>
      </c>
      <c r="J1150" s="1991">
        <v>1442445</v>
      </c>
      <c r="K1150" s="1991">
        <v>2884890</v>
      </c>
      <c r="L1150" s="1581">
        <f t="shared" si="76"/>
        <v>60</v>
      </c>
      <c r="M1150" s="1992" t="s">
        <v>4387</v>
      </c>
      <c r="N1150" s="1993" t="s">
        <v>4388</v>
      </c>
    </row>
    <row r="1151" spans="1:14">
      <c r="A1151" s="1981">
        <v>968</v>
      </c>
      <c r="B1151" s="1988">
        <v>28</v>
      </c>
      <c r="C1151" s="1989" t="s">
        <v>4433</v>
      </c>
      <c r="D1151" s="1990" t="s">
        <v>3905</v>
      </c>
      <c r="E1151" s="1990" t="s">
        <v>435</v>
      </c>
      <c r="F1151" s="1991">
        <v>4</v>
      </c>
      <c r="G1151" s="1991">
        <v>4673445</v>
      </c>
      <c r="H1151" s="1991">
        <f t="shared" si="77"/>
        <v>18693780</v>
      </c>
      <c r="I1151" s="1991">
        <v>4</v>
      </c>
      <c r="J1151" s="1991">
        <v>4673521.8</v>
      </c>
      <c r="K1151" s="1991">
        <v>18694087.199999996</v>
      </c>
      <c r="L1151" s="1581">
        <f t="shared" si="76"/>
        <v>76.799999999813735</v>
      </c>
      <c r="M1151" s="1992" t="s">
        <v>4387</v>
      </c>
      <c r="N1151" s="1993" t="s">
        <v>4388</v>
      </c>
    </row>
    <row r="1152" spans="1:14">
      <c r="A1152" s="1981">
        <v>969</v>
      </c>
      <c r="B1152" s="1988">
        <v>29</v>
      </c>
      <c r="C1152" s="1989" t="s">
        <v>4434</v>
      </c>
      <c r="D1152" s="1990" t="s">
        <v>4410</v>
      </c>
      <c r="E1152" s="1990" t="s">
        <v>435</v>
      </c>
      <c r="F1152" s="1991">
        <v>2</v>
      </c>
      <c r="G1152" s="1991">
        <v>1442385</v>
      </c>
      <c r="H1152" s="1991">
        <f t="shared" si="77"/>
        <v>2884770</v>
      </c>
      <c r="I1152" s="1991">
        <v>2</v>
      </c>
      <c r="J1152" s="1991">
        <v>1442445</v>
      </c>
      <c r="K1152" s="1991">
        <v>2884890</v>
      </c>
      <c r="L1152" s="1581">
        <f t="shared" si="76"/>
        <v>60</v>
      </c>
      <c r="M1152" s="1992" t="s">
        <v>4387</v>
      </c>
      <c r="N1152" s="1993" t="s">
        <v>4388</v>
      </c>
    </row>
    <row r="1153" spans="1:14">
      <c r="A1153" s="1981">
        <v>970</v>
      </c>
      <c r="B1153" s="1988">
        <v>30</v>
      </c>
      <c r="C1153" s="1989" t="s">
        <v>4435</v>
      </c>
      <c r="D1153" s="1990" t="s">
        <v>3905</v>
      </c>
      <c r="E1153" s="1990" t="s">
        <v>435</v>
      </c>
      <c r="F1153" s="1991">
        <v>4</v>
      </c>
      <c r="G1153" s="1991">
        <v>4673445</v>
      </c>
      <c r="H1153" s="1991">
        <f t="shared" si="77"/>
        <v>18693780</v>
      </c>
      <c r="I1153" s="1991">
        <v>4</v>
      </c>
      <c r="J1153" s="1991">
        <v>4673521.8</v>
      </c>
      <c r="K1153" s="1991">
        <v>18694087.199999996</v>
      </c>
      <c r="L1153" s="1581">
        <f t="shared" si="76"/>
        <v>76.799999999813735</v>
      </c>
      <c r="M1153" s="1992" t="s">
        <v>4387</v>
      </c>
      <c r="N1153" s="1993" t="s">
        <v>4388</v>
      </c>
    </row>
    <row r="1154" spans="1:14">
      <c r="A1154" s="1981">
        <v>971</v>
      </c>
      <c r="B1154" s="1988">
        <v>31</v>
      </c>
      <c r="C1154" s="1989" t="s">
        <v>4436</v>
      </c>
      <c r="D1154" s="1990" t="s">
        <v>4410</v>
      </c>
      <c r="E1154" s="1990" t="s">
        <v>435</v>
      </c>
      <c r="F1154" s="1991">
        <v>2</v>
      </c>
      <c r="G1154" s="1991">
        <v>1442385</v>
      </c>
      <c r="H1154" s="1991">
        <f t="shared" si="77"/>
        <v>2884770</v>
      </c>
      <c r="I1154" s="1991">
        <v>2</v>
      </c>
      <c r="J1154" s="1991">
        <v>1442445</v>
      </c>
      <c r="K1154" s="1991">
        <v>2884890</v>
      </c>
      <c r="L1154" s="1581">
        <f t="shared" si="76"/>
        <v>60</v>
      </c>
      <c r="M1154" s="1992" t="s">
        <v>4387</v>
      </c>
      <c r="N1154" s="1993" t="s">
        <v>4388</v>
      </c>
    </row>
    <row r="1155" spans="1:14">
      <c r="A1155" s="1981">
        <v>972</v>
      </c>
      <c r="B1155" s="1988">
        <v>32</v>
      </c>
      <c r="C1155" s="1989" t="s">
        <v>4437</v>
      </c>
      <c r="D1155" s="1989" t="s">
        <v>3905</v>
      </c>
      <c r="E1155" s="1989" t="s">
        <v>435</v>
      </c>
      <c r="F1155" s="1991">
        <v>4</v>
      </c>
      <c r="G1155" s="1991">
        <v>4673445</v>
      </c>
      <c r="H1155" s="1991">
        <f t="shared" si="77"/>
        <v>18693780</v>
      </c>
      <c r="I1155" s="1991">
        <v>4</v>
      </c>
      <c r="J1155" s="1991">
        <v>4673521.8</v>
      </c>
      <c r="K1155" s="1991">
        <v>18694087.199999996</v>
      </c>
      <c r="L1155" s="1581">
        <f t="shared" si="76"/>
        <v>76.799999999813735</v>
      </c>
      <c r="M1155" s="1992" t="s">
        <v>4387</v>
      </c>
      <c r="N1155" s="1993" t="s">
        <v>4388</v>
      </c>
    </row>
    <row r="1156" spans="1:14">
      <c r="A1156" s="1981">
        <v>973</v>
      </c>
      <c r="B1156" s="1988">
        <v>33</v>
      </c>
      <c r="C1156" s="1989" t="s">
        <v>4438</v>
      </c>
      <c r="D1156" s="1989" t="s">
        <v>4410</v>
      </c>
      <c r="E1156" s="1989" t="s">
        <v>435</v>
      </c>
      <c r="F1156" s="1991">
        <v>2</v>
      </c>
      <c r="G1156" s="1991">
        <v>1442385</v>
      </c>
      <c r="H1156" s="1991">
        <f t="shared" si="77"/>
        <v>2884770</v>
      </c>
      <c r="I1156" s="1991">
        <v>2</v>
      </c>
      <c r="J1156" s="1991">
        <v>1442445</v>
      </c>
      <c r="K1156" s="1991">
        <v>2884890</v>
      </c>
      <c r="L1156" s="1581">
        <f t="shared" si="76"/>
        <v>60</v>
      </c>
      <c r="M1156" s="1992" t="s">
        <v>4387</v>
      </c>
      <c r="N1156" s="1993" t="s">
        <v>4388</v>
      </c>
    </row>
    <row r="1157" spans="1:14">
      <c r="A1157" s="1981">
        <v>974</v>
      </c>
      <c r="B1157" s="1988">
        <v>34</v>
      </c>
      <c r="C1157" s="1994" t="s">
        <v>4439</v>
      </c>
      <c r="D1157" s="1990" t="s">
        <v>3905</v>
      </c>
      <c r="E1157" s="1990" t="s">
        <v>435</v>
      </c>
      <c r="F1157" s="1991">
        <v>4</v>
      </c>
      <c r="G1157" s="1991">
        <v>4673445</v>
      </c>
      <c r="H1157" s="1991">
        <f t="shared" si="77"/>
        <v>18693780</v>
      </c>
      <c r="I1157" s="1991">
        <v>4</v>
      </c>
      <c r="J1157" s="1991">
        <v>4673521.8</v>
      </c>
      <c r="K1157" s="1991">
        <v>18694087.199999996</v>
      </c>
      <c r="L1157" s="1581">
        <f t="shared" si="76"/>
        <v>76.799999999813735</v>
      </c>
      <c r="M1157" s="1992" t="s">
        <v>4387</v>
      </c>
      <c r="N1157" s="1993" t="s">
        <v>4388</v>
      </c>
    </row>
    <row r="1158" spans="1:14">
      <c r="A1158" s="1981">
        <v>975</v>
      </c>
      <c r="B1158" s="1988">
        <v>35</v>
      </c>
      <c r="C1158" s="1994" t="s">
        <v>4440</v>
      </c>
      <c r="D1158" s="1990" t="s">
        <v>4410</v>
      </c>
      <c r="E1158" s="1990" t="s">
        <v>435</v>
      </c>
      <c r="F1158" s="1991">
        <v>2</v>
      </c>
      <c r="G1158" s="1991">
        <v>1442385</v>
      </c>
      <c r="H1158" s="1991">
        <f t="shared" si="77"/>
        <v>2884770</v>
      </c>
      <c r="I1158" s="1991">
        <v>2</v>
      </c>
      <c r="J1158" s="1991">
        <v>1442445</v>
      </c>
      <c r="K1158" s="1991">
        <v>2884890</v>
      </c>
      <c r="L1158" s="1581">
        <f t="shared" si="76"/>
        <v>60</v>
      </c>
      <c r="M1158" s="1992" t="s">
        <v>4387</v>
      </c>
      <c r="N1158" s="1993" t="s">
        <v>4388</v>
      </c>
    </row>
    <row r="1159" spans="1:14">
      <c r="A1159" s="1981">
        <v>976</v>
      </c>
      <c r="B1159" s="1988">
        <v>36</v>
      </c>
      <c r="C1159" s="1989" t="s">
        <v>4441</v>
      </c>
      <c r="D1159" s="1990" t="s">
        <v>3905</v>
      </c>
      <c r="E1159" s="1990" t="s">
        <v>435</v>
      </c>
      <c r="F1159" s="1991">
        <v>4</v>
      </c>
      <c r="G1159" s="1991">
        <v>4673445</v>
      </c>
      <c r="H1159" s="1991">
        <f t="shared" si="77"/>
        <v>18693780</v>
      </c>
      <c r="I1159" s="1991">
        <v>4</v>
      </c>
      <c r="J1159" s="1991">
        <v>4673521.8</v>
      </c>
      <c r="K1159" s="1991">
        <v>18694087.199999996</v>
      </c>
      <c r="L1159" s="1581">
        <f t="shared" si="76"/>
        <v>76.799999999813735</v>
      </c>
      <c r="M1159" s="1992" t="s">
        <v>4387</v>
      </c>
      <c r="N1159" s="1993" t="s">
        <v>4388</v>
      </c>
    </row>
    <row r="1160" spans="1:14">
      <c r="A1160" s="1981">
        <v>977</v>
      </c>
      <c r="B1160" s="1988">
        <v>37</v>
      </c>
      <c r="C1160" s="1989" t="s">
        <v>4442</v>
      </c>
      <c r="D1160" s="1990" t="s">
        <v>4410</v>
      </c>
      <c r="E1160" s="1990" t="s">
        <v>435</v>
      </c>
      <c r="F1160" s="1991">
        <v>2</v>
      </c>
      <c r="G1160" s="1991">
        <v>1442385</v>
      </c>
      <c r="H1160" s="1991">
        <f t="shared" si="77"/>
        <v>2884770</v>
      </c>
      <c r="I1160" s="1991">
        <v>2</v>
      </c>
      <c r="J1160" s="1991">
        <v>1442445</v>
      </c>
      <c r="K1160" s="1991">
        <v>2884890</v>
      </c>
      <c r="L1160" s="1581">
        <f t="shared" si="76"/>
        <v>60</v>
      </c>
      <c r="M1160" s="1992" t="s">
        <v>4387</v>
      </c>
      <c r="N1160" s="1993" t="s">
        <v>4388</v>
      </c>
    </row>
    <row r="1161" spans="1:14">
      <c r="A1161" s="1981">
        <v>978</v>
      </c>
      <c r="B1161" s="1988">
        <v>38</v>
      </c>
      <c r="C1161" s="1989" t="s">
        <v>4443</v>
      </c>
      <c r="D1161" s="1990" t="s">
        <v>3905</v>
      </c>
      <c r="E1161" s="1990" t="s">
        <v>435</v>
      </c>
      <c r="F1161" s="1991">
        <v>4</v>
      </c>
      <c r="G1161" s="1991">
        <v>4673445</v>
      </c>
      <c r="H1161" s="1991">
        <f t="shared" si="77"/>
        <v>18693780</v>
      </c>
      <c r="I1161" s="1991">
        <v>4</v>
      </c>
      <c r="J1161" s="1991">
        <v>4673521.8</v>
      </c>
      <c r="K1161" s="1991">
        <v>18694087.199999996</v>
      </c>
      <c r="L1161" s="1581">
        <f t="shared" si="76"/>
        <v>76.799999999813735</v>
      </c>
      <c r="M1161" s="1992" t="s">
        <v>4387</v>
      </c>
      <c r="N1161" s="1993" t="s">
        <v>4388</v>
      </c>
    </row>
    <row r="1162" spans="1:14">
      <c r="A1162" s="1981">
        <v>979</v>
      </c>
      <c r="B1162" s="1988">
        <v>39</v>
      </c>
      <c r="C1162" s="1989" t="s">
        <v>4444</v>
      </c>
      <c r="D1162" s="1990" t="s">
        <v>4410</v>
      </c>
      <c r="E1162" s="1990" t="s">
        <v>435</v>
      </c>
      <c r="F1162" s="1991">
        <v>2</v>
      </c>
      <c r="G1162" s="1991">
        <v>1442385</v>
      </c>
      <c r="H1162" s="1991">
        <f t="shared" si="77"/>
        <v>2884770</v>
      </c>
      <c r="I1162" s="1991">
        <v>2</v>
      </c>
      <c r="J1162" s="1991">
        <v>1442445</v>
      </c>
      <c r="K1162" s="1991">
        <v>2884890</v>
      </c>
      <c r="L1162" s="1581">
        <f t="shared" si="76"/>
        <v>60</v>
      </c>
      <c r="M1162" s="1992" t="s">
        <v>4387</v>
      </c>
      <c r="N1162" s="1993" t="s">
        <v>4388</v>
      </c>
    </row>
    <row r="1163" spans="1:14">
      <c r="A1163" s="1981">
        <v>980</v>
      </c>
      <c r="B1163" s="1988">
        <v>40</v>
      </c>
      <c r="C1163" s="1989" t="s">
        <v>4445</v>
      </c>
      <c r="D1163" s="1990" t="s">
        <v>3905</v>
      </c>
      <c r="E1163" s="1990" t="s">
        <v>435</v>
      </c>
      <c r="F1163" s="1991">
        <v>6</v>
      </c>
      <c r="G1163" s="1991">
        <v>4673445</v>
      </c>
      <c r="H1163" s="1991">
        <f t="shared" si="77"/>
        <v>28040670</v>
      </c>
      <c r="I1163" s="1991">
        <v>6</v>
      </c>
      <c r="J1163" s="1991">
        <v>4673521.8</v>
      </c>
      <c r="K1163" s="1991">
        <v>28041130.799999993</v>
      </c>
      <c r="L1163" s="1581">
        <f t="shared" si="76"/>
        <v>76.799999999813735</v>
      </c>
      <c r="M1163" s="1992" t="s">
        <v>4387</v>
      </c>
      <c r="N1163" s="1993" t="s">
        <v>4388</v>
      </c>
    </row>
    <row r="1164" spans="1:14">
      <c r="A1164" s="1981">
        <v>981</v>
      </c>
      <c r="B1164" s="1988">
        <v>41</v>
      </c>
      <c r="C1164" s="1989" t="s">
        <v>4446</v>
      </c>
      <c r="D1164" s="1990" t="s">
        <v>4410</v>
      </c>
      <c r="E1164" s="1990" t="s">
        <v>435</v>
      </c>
      <c r="F1164" s="1991">
        <v>2</v>
      </c>
      <c r="G1164" s="1991">
        <v>1730925</v>
      </c>
      <c r="H1164" s="1991">
        <f t="shared" si="77"/>
        <v>3461850</v>
      </c>
      <c r="I1164" s="1991">
        <v>2</v>
      </c>
      <c r="J1164" s="1991">
        <v>1730934</v>
      </c>
      <c r="K1164" s="1991">
        <v>3461868</v>
      </c>
      <c r="L1164" s="1581">
        <f t="shared" si="76"/>
        <v>9</v>
      </c>
      <c r="M1164" s="1992" t="s">
        <v>4387</v>
      </c>
      <c r="N1164" s="1993" t="s">
        <v>4388</v>
      </c>
    </row>
    <row r="1165" spans="1:14">
      <c r="A1165" s="1981">
        <v>982</v>
      </c>
      <c r="B1165" s="1988">
        <v>42</v>
      </c>
      <c r="C1165" s="1989" t="s">
        <v>4447</v>
      </c>
      <c r="D1165" s="1990" t="s">
        <v>3905</v>
      </c>
      <c r="E1165" s="1990" t="s">
        <v>435</v>
      </c>
      <c r="F1165" s="1991">
        <v>4</v>
      </c>
      <c r="G1165" s="1991">
        <v>9087330</v>
      </c>
      <c r="H1165" s="1991">
        <f t="shared" si="77"/>
        <v>36349320</v>
      </c>
      <c r="I1165" s="1991">
        <v>4</v>
      </c>
      <c r="J1165" s="1991">
        <v>9087403.4999999981</v>
      </c>
      <c r="K1165" s="1991">
        <v>36349613.999999993</v>
      </c>
      <c r="L1165" s="1581">
        <f t="shared" si="76"/>
        <v>73.499999998137355</v>
      </c>
      <c r="M1165" s="1992" t="s">
        <v>4387</v>
      </c>
      <c r="N1165" s="1993" t="s">
        <v>4388</v>
      </c>
    </row>
    <row r="1166" spans="1:14">
      <c r="A1166" s="1981">
        <v>983</v>
      </c>
      <c r="B1166" s="1988">
        <v>43</v>
      </c>
      <c r="C1166" s="1989" t="s">
        <v>4448</v>
      </c>
      <c r="D1166" s="1990" t="s">
        <v>4449</v>
      </c>
      <c r="E1166" s="1990" t="s">
        <v>435</v>
      </c>
      <c r="F1166" s="1991">
        <v>2</v>
      </c>
      <c r="G1166" s="1991">
        <v>3606015</v>
      </c>
      <c r="H1166" s="1991">
        <f t="shared" si="77"/>
        <v>7212030</v>
      </c>
      <c r="I1166" s="1991">
        <v>2</v>
      </c>
      <c r="J1166" s="1991">
        <v>3606112.5</v>
      </c>
      <c r="K1166" s="1991">
        <v>7212224.9999999981</v>
      </c>
      <c r="L1166" s="1581">
        <f t="shared" si="76"/>
        <v>97.5</v>
      </c>
      <c r="M1166" s="1992" t="s">
        <v>4387</v>
      </c>
      <c r="N1166" s="1993" t="s">
        <v>4388</v>
      </c>
    </row>
    <row r="1167" spans="1:14">
      <c r="A1167" s="1981">
        <v>984</v>
      </c>
      <c r="B1167" s="1988">
        <v>44</v>
      </c>
      <c r="C1167" s="1989" t="s">
        <v>4450</v>
      </c>
      <c r="D1167" s="1990" t="s">
        <v>3905</v>
      </c>
      <c r="E1167" s="1990" t="s">
        <v>435</v>
      </c>
      <c r="F1167" s="1991">
        <v>6</v>
      </c>
      <c r="G1167" s="1991">
        <v>9087330</v>
      </c>
      <c r="H1167" s="1991">
        <f t="shared" si="77"/>
        <v>54523980</v>
      </c>
      <c r="I1167" s="1991">
        <v>6</v>
      </c>
      <c r="J1167" s="1991">
        <v>9087403.4999999981</v>
      </c>
      <c r="K1167" s="1991">
        <v>54524420.999999985</v>
      </c>
      <c r="L1167" s="1581">
        <f t="shared" si="76"/>
        <v>73.499999998137355</v>
      </c>
      <c r="M1167" s="1992" t="s">
        <v>4387</v>
      </c>
      <c r="N1167" s="1993" t="s">
        <v>4388</v>
      </c>
    </row>
    <row r="1168" spans="1:14">
      <c r="A1168" s="1981">
        <v>985</v>
      </c>
      <c r="B1168" s="1988">
        <v>45</v>
      </c>
      <c r="C1168" s="1989" t="s">
        <v>4451</v>
      </c>
      <c r="D1168" s="1990" t="s">
        <v>4449</v>
      </c>
      <c r="E1168" s="1990" t="s">
        <v>435</v>
      </c>
      <c r="F1168" s="1991">
        <v>2</v>
      </c>
      <c r="G1168" s="1991">
        <v>3606015</v>
      </c>
      <c r="H1168" s="1991">
        <f t="shared" si="77"/>
        <v>7212030</v>
      </c>
      <c r="I1168" s="1991">
        <v>2</v>
      </c>
      <c r="J1168" s="1991">
        <v>3606112.5</v>
      </c>
      <c r="K1168" s="1991">
        <v>7212224.9999999981</v>
      </c>
      <c r="L1168" s="1581">
        <f t="shared" si="76"/>
        <v>97.5</v>
      </c>
      <c r="M1168" s="1992" t="s">
        <v>4387</v>
      </c>
      <c r="N1168" s="1993" t="s">
        <v>4388</v>
      </c>
    </row>
    <row r="1169" spans="1:14">
      <c r="A1169" s="1981">
        <v>986</v>
      </c>
      <c r="B1169" s="1988">
        <v>46</v>
      </c>
      <c r="C1169" s="1995" t="s">
        <v>4452</v>
      </c>
      <c r="D1169" s="1989">
        <v>100</v>
      </c>
      <c r="E1169" s="1990" t="s">
        <v>435</v>
      </c>
      <c r="F1169" s="1991">
        <v>10</v>
      </c>
      <c r="G1169" s="1991">
        <v>44220330</v>
      </c>
      <c r="H1169" s="1991">
        <f t="shared" si="77"/>
        <v>442203300</v>
      </c>
      <c r="I1169" s="1991">
        <v>10</v>
      </c>
      <c r="J1169" s="1991">
        <v>44220413.904499993</v>
      </c>
      <c r="K1169" s="1991">
        <v>442204139.04499996</v>
      </c>
      <c r="L1169" s="1581">
        <f t="shared" si="76"/>
        <v>83.904499992728233</v>
      </c>
      <c r="M1169" s="1992" t="s">
        <v>4387</v>
      </c>
      <c r="N1169" s="1993" t="s">
        <v>4388</v>
      </c>
    </row>
    <row r="1170" spans="1:14">
      <c r="A1170" s="1981">
        <v>987</v>
      </c>
      <c r="B1170" s="1988">
        <v>47</v>
      </c>
      <c r="C1170" s="1995" t="s">
        <v>4453</v>
      </c>
      <c r="D1170" s="1990" t="s">
        <v>4410</v>
      </c>
      <c r="E1170" s="1990" t="s">
        <v>435</v>
      </c>
      <c r="F1170" s="1991">
        <v>2</v>
      </c>
      <c r="G1170" s="1991">
        <v>7370055</v>
      </c>
      <c r="H1170" s="1991">
        <f t="shared" si="77"/>
        <v>14740110</v>
      </c>
      <c r="I1170" s="1991">
        <v>2</v>
      </c>
      <c r="J1170" s="1991">
        <v>7370068.7674999982</v>
      </c>
      <c r="K1170" s="1991">
        <v>14740137.534999996</v>
      </c>
      <c r="L1170" s="1581">
        <f t="shared" si="76"/>
        <v>13.767499998211861</v>
      </c>
      <c r="M1170" s="1992" t="s">
        <v>4387</v>
      </c>
      <c r="N1170" s="1993" t="s">
        <v>4388</v>
      </c>
    </row>
    <row r="1171" spans="1:14">
      <c r="A1171" s="1981">
        <v>988</v>
      </c>
      <c r="B1171" s="1988">
        <v>48</v>
      </c>
      <c r="C1171" s="1995" t="s">
        <v>4454</v>
      </c>
      <c r="D1171" s="1990" t="s">
        <v>4455</v>
      </c>
      <c r="E1171" s="1990" t="s">
        <v>435</v>
      </c>
      <c r="F1171" s="1991">
        <v>2</v>
      </c>
      <c r="G1171" s="1991">
        <v>7370055</v>
      </c>
      <c r="H1171" s="1991">
        <f t="shared" si="77"/>
        <v>14740110</v>
      </c>
      <c r="I1171" s="1991">
        <v>2</v>
      </c>
      <c r="J1171" s="1991">
        <v>7370068.7674999982</v>
      </c>
      <c r="K1171" s="1991">
        <v>14740137.534999996</v>
      </c>
      <c r="L1171" s="1581">
        <f t="shared" si="76"/>
        <v>13.767499998211861</v>
      </c>
      <c r="M1171" s="1992" t="s">
        <v>4387</v>
      </c>
      <c r="N1171" s="1993" t="s">
        <v>4388</v>
      </c>
    </row>
    <row r="1172" spans="1:14">
      <c r="A1172" s="1981">
        <v>989</v>
      </c>
      <c r="B1172" s="1988">
        <v>49</v>
      </c>
      <c r="C1172" s="1989" t="s">
        <v>4456</v>
      </c>
      <c r="D1172" s="1990" t="s">
        <v>3905</v>
      </c>
      <c r="E1172" s="1990" t="s">
        <v>435</v>
      </c>
      <c r="F1172" s="1991">
        <v>10</v>
      </c>
      <c r="G1172" s="1991">
        <v>5192775</v>
      </c>
      <c r="H1172" s="1991">
        <f t="shared" si="77"/>
        <v>51927750</v>
      </c>
      <c r="I1172" s="1991">
        <v>10</v>
      </c>
      <c r="J1172" s="1991">
        <v>5192802</v>
      </c>
      <c r="K1172" s="1991">
        <v>51928019.999999993</v>
      </c>
      <c r="L1172" s="1581">
        <f t="shared" si="76"/>
        <v>27</v>
      </c>
      <c r="M1172" s="1992" t="s">
        <v>4387</v>
      </c>
      <c r="N1172" s="1993" t="s">
        <v>4388</v>
      </c>
    </row>
    <row r="1173" spans="1:14">
      <c r="A1173" s="1981">
        <v>990</v>
      </c>
      <c r="B1173" s="1988">
        <v>50</v>
      </c>
      <c r="C1173" s="1989" t="s">
        <v>4457</v>
      </c>
      <c r="D1173" s="1990" t="s">
        <v>4410</v>
      </c>
      <c r="E1173" s="1990" t="s">
        <v>435</v>
      </c>
      <c r="F1173" s="1991">
        <v>2</v>
      </c>
      <c r="G1173" s="1991">
        <v>1442385</v>
      </c>
      <c r="H1173" s="1991">
        <f t="shared" si="77"/>
        <v>2884770</v>
      </c>
      <c r="I1173" s="1991">
        <v>2</v>
      </c>
      <c r="J1173" s="1991">
        <v>1442445</v>
      </c>
      <c r="K1173" s="1991">
        <v>2884890</v>
      </c>
      <c r="L1173" s="1581">
        <f t="shared" si="76"/>
        <v>60</v>
      </c>
      <c r="M1173" s="1992" t="s">
        <v>4387</v>
      </c>
      <c r="N1173" s="1993" t="s">
        <v>4388</v>
      </c>
    </row>
    <row r="1174" spans="1:14">
      <c r="A1174" s="1981">
        <v>991</v>
      </c>
      <c r="B1174" s="1988">
        <v>51</v>
      </c>
      <c r="C1174" s="1989" t="s">
        <v>4458</v>
      </c>
      <c r="D1174" s="1990" t="s">
        <v>3905</v>
      </c>
      <c r="E1174" s="1990" t="s">
        <v>435</v>
      </c>
      <c r="F1174" s="1991">
        <v>4</v>
      </c>
      <c r="G1174" s="1991">
        <v>5192775</v>
      </c>
      <c r="H1174" s="1991">
        <f t="shared" si="77"/>
        <v>20771100</v>
      </c>
      <c r="I1174" s="1991">
        <v>4</v>
      </c>
      <c r="J1174" s="1991">
        <v>5192802</v>
      </c>
      <c r="K1174" s="1991">
        <v>20771207.999999996</v>
      </c>
      <c r="L1174" s="1581">
        <f t="shared" si="76"/>
        <v>27</v>
      </c>
      <c r="M1174" s="1992" t="s">
        <v>4387</v>
      </c>
      <c r="N1174" s="1993" t="s">
        <v>4388</v>
      </c>
    </row>
    <row r="1175" spans="1:14">
      <c r="A1175" s="1981">
        <v>992</v>
      </c>
      <c r="B1175" s="1988">
        <v>52</v>
      </c>
      <c r="C1175" s="1989" t="s">
        <v>4459</v>
      </c>
      <c r="D1175" s="1990" t="s">
        <v>4410</v>
      </c>
      <c r="E1175" s="1990" t="s">
        <v>435</v>
      </c>
      <c r="F1175" s="1991">
        <v>2</v>
      </c>
      <c r="G1175" s="1991">
        <v>2884875</v>
      </c>
      <c r="H1175" s="1991">
        <f t="shared" si="77"/>
        <v>5769750</v>
      </c>
      <c r="I1175" s="1991">
        <v>2</v>
      </c>
      <c r="J1175" s="1991">
        <v>2884890</v>
      </c>
      <c r="K1175" s="1991">
        <v>5769779.9999999991</v>
      </c>
      <c r="L1175" s="1581">
        <f t="shared" si="76"/>
        <v>15</v>
      </c>
      <c r="M1175" s="1992" t="s">
        <v>4387</v>
      </c>
      <c r="N1175" s="1993" t="s">
        <v>4388</v>
      </c>
    </row>
    <row r="1176" spans="1:14">
      <c r="A1176" s="1981">
        <v>993</v>
      </c>
      <c r="B1176" s="1988">
        <v>53</v>
      </c>
      <c r="C1176" s="1989" t="s">
        <v>4460</v>
      </c>
      <c r="D1176" s="1990" t="s">
        <v>3905</v>
      </c>
      <c r="E1176" s="1990" t="s">
        <v>435</v>
      </c>
      <c r="F1176" s="1991">
        <v>4</v>
      </c>
      <c r="G1176" s="1991">
        <v>5192775</v>
      </c>
      <c r="H1176" s="1991">
        <f t="shared" si="77"/>
        <v>20771100</v>
      </c>
      <c r="I1176" s="1991">
        <v>4</v>
      </c>
      <c r="J1176" s="1991">
        <v>5192802</v>
      </c>
      <c r="K1176" s="1991">
        <v>20771207.999999996</v>
      </c>
      <c r="L1176" s="1581">
        <f t="shared" si="76"/>
        <v>27</v>
      </c>
      <c r="M1176" s="1992" t="s">
        <v>4387</v>
      </c>
      <c r="N1176" s="1993" t="s">
        <v>4388</v>
      </c>
    </row>
    <row r="1177" spans="1:14">
      <c r="A1177" s="1981">
        <v>994</v>
      </c>
      <c r="B1177" s="1988">
        <v>54</v>
      </c>
      <c r="C1177" s="1989" t="s">
        <v>4461</v>
      </c>
      <c r="D1177" s="1990" t="s">
        <v>4410</v>
      </c>
      <c r="E1177" s="1990" t="s">
        <v>435</v>
      </c>
      <c r="F1177" s="1991">
        <v>2</v>
      </c>
      <c r="G1177" s="1991">
        <v>1442385</v>
      </c>
      <c r="H1177" s="1991">
        <f t="shared" si="77"/>
        <v>2884770</v>
      </c>
      <c r="I1177" s="1991">
        <v>2</v>
      </c>
      <c r="J1177" s="1991">
        <v>1442445</v>
      </c>
      <c r="K1177" s="1991">
        <v>2884890</v>
      </c>
      <c r="L1177" s="1581">
        <f t="shared" si="76"/>
        <v>60</v>
      </c>
      <c r="M1177" s="1992" t="s">
        <v>4387</v>
      </c>
      <c r="N1177" s="1993" t="s">
        <v>4388</v>
      </c>
    </row>
    <row r="1178" spans="1:14">
      <c r="A1178" s="1981">
        <v>995</v>
      </c>
      <c r="B1178" s="1988">
        <v>55</v>
      </c>
      <c r="C1178" s="1989" t="s">
        <v>4462</v>
      </c>
      <c r="D1178" s="1990" t="s">
        <v>3035</v>
      </c>
      <c r="E1178" s="1990" t="s">
        <v>435</v>
      </c>
      <c r="F1178" s="1991">
        <v>4</v>
      </c>
      <c r="G1178" s="1991">
        <v>5769750</v>
      </c>
      <c r="H1178" s="1991">
        <f t="shared" si="77"/>
        <v>23079000</v>
      </c>
      <c r="I1178" s="1991">
        <v>4</v>
      </c>
      <c r="J1178" s="1991">
        <v>5769779.9999999991</v>
      </c>
      <c r="K1178" s="1991">
        <v>23079119.999999996</v>
      </c>
      <c r="L1178" s="1581">
        <f t="shared" si="76"/>
        <v>29.999999999068677</v>
      </c>
      <c r="M1178" s="1992" t="s">
        <v>4387</v>
      </c>
      <c r="N1178" s="1993" t="s">
        <v>4388</v>
      </c>
    </row>
    <row r="1179" spans="1:14">
      <c r="A1179" s="1981">
        <v>996</v>
      </c>
      <c r="B1179" s="1988">
        <v>56</v>
      </c>
      <c r="C1179" s="1989" t="s">
        <v>4463</v>
      </c>
      <c r="D1179" s="1990" t="s">
        <v>4449</v>
      </c>
      <c r="E1179" s="1990" t="s">
        <v>435</v>
      </c>
      <c r="F1179" s="1991">
        <v>2</v>
      </c>
      <c r="G1179" s="1991">
        <v>2884875</v>
      </c>
      <c r="H1179" s="1991">
        <f t="shared" si="77"/>
        <v>5769750</v>
      </c>
      <c r="I1179" s="1991">
        <v>2</v>
      </c>
      <c r="J1179" s="1991">
        <v>2884890</v>
      </c>
      <c r="K1179" s="1991">
        <v>5769779.9999999991</v>
      </c>
      <c r="L1179" s="1581">
        <f t="shared" si="76"/>
        <v>15</v>
      </c>
      <c r="M1179" s="1992" t="s">
        <v>4387</v>
      </c>
      <c r="N1179" s="1993" t="s">
        <v>4388</v>
      </c>
    </row>
    <row r="1180" spans="1:14">
      <c r="A1180" s="1981">
        <v>997</v>
      </c>
      <c r="B1180" s="1988">
        <v>57</v>
      </c>
      <c r="C1180" s="1989" t="s">
        <v>4464</v>
      </c>
      <c r="D1180" s="1990" t="s">
        <v>4465</v>
      </c>
      <c r="E1180" s="1990" t="s">
        <v>435</v>
      </c>
      <c r="F1180" s="1991">
        <v>2</v>
      </c>
      <c r="G1180" s="1991">
        <v>1299480</v>
      </c>
      <c r="H1180" s="1991">
        <f t="shared" si="77"/>
        <v>2598960</v>
      </c>
      <c r="I1180" s="1991">
        <v>2</v>
      </c>
      <c r="J1180" s="1991">
        <v>1299500</v>
      </c>
      <c r="K1180" s="1991">
        <v>2599000</v>
      </c>
      <c r="L1180" s="1581">
        <f t="shared" si="76"/>
        <v>20</v>
      </c>
      <c r="M1180" s="1992" t="s">
        <v>4387</v>
      </c>
      <c r="N1180" s="1993" t="s">
        <v>4388</v>
      </c>
    </row>
    <row r="1181" spans="1:14">
      <c r="A1181" s="1981">
        <v>998</v>
      </c>
      <c r="B1181" s="1988">
        <v>58</v>
      </c>
      <c r="C1181" s="1989" t="s">
        <v>4466</v>
      </c>
      <c r="D1181" s="1990" t="s">
        <v>3905</v>
      </c>
      <c r="E1181" s="1990" t="s">
        <v>435</v>
      </c>
      <c r="F1181" s="1991">
        <v>32</v>
      </c>
      <c r="G1181" s="1991">
        <v>4673445</v>
      </c>
      <c r="H1181" s="1991">
        <f t="shared" si="77"/>
        <v>149550240</v>
      </c>
      <c r="I1181" s="1991">
        <v>32</v>
      </c>
      <c r="J1181" s="1991">
        <v>4673521.8</v>
      </c>
      <c r="K1181" s="1991">
        <v>149552697.59999996</v>
      </c>
      <c r="L1181" s="1581">
        <f t="shared" si="76"/>
        <v>76.799999999813735</v>
      </c>
      <c r="M1181" s="1992" t="s">
        <v>4387</v>
      </c>
      <c r="N1181" s="1993" t="s">
        <v>4388</v>
      </c>
    </row>
    <row r="1182" spans="1:14" s="1741" customFormat="1">
      <c r="A1182" s="1996">
        <v>999</v>
      </c>
      <c r="B1182" s="1997">
        <v>59</v>
      </c>
      <c r="C1182" s="1998" t="s">
        <v>4467</v>
      </c>
      <c r="D1182" s="1999" t="s">
        <v>4405</v>
      </c>
      <c r="E1182" s="1999" t="s">
        <v>435</v>
      </c>
      <c r="F1182" s="2000"/>
      <c r="G1182" s="2000">
        <v>9346995</v>
      </c>
      <c r="H1182" s="2000">
        <f t="shared" si="77"/>
        <v>0</v>
      </c>
      <c r="I1182" s="2000"/>
      <c r="J1182" s="2000">
        <v>9347043.5999999978</v>
      </c>
      <c r="K1182" s="2000">
        <v>0</v>
      </c>
      <c r="L1182" s="2001">
        <f t="shared" si="76"/>
        <v>48.599999997764826</v>
      </c>
      <c r="M1182" s="2002" t="s">
        <v>4387</v>
      </c>
      <c r="N1182" s="2003" t="s">
        <v>4388</v>
      </c>
    </row>
    <row r="1183" spans="1:14">
      <c r="A1183" s="1981">
        <v>1000</v>
      </c>
      <c r="B1183" s="1988">
        <v>60</v>
      </c>
      <c r="C1183" s="1989" t="s">
        <v>4468</v>
      </c>
      <c r="D1183" s="1990" t="s">
        <v>4449</v>
      </c>
      <c r="E1183" s="1990" t="s">
        <v>435</v>
      </c>
      <c r="F1183" s="1991">
        <v>2</v>
      </c>
      <c r="G1183" s="1991">
        <v>1442385</v>
      </c>
      <c r="H1183" s="1991">
        <f t="shared" si="77"/>
        <v>2884770</v>
      </c>
      <c r="I1183" s="1991">
        <v>2</v>
      </c>
      <c r="J1183" s="1991">
        <v>1442445</v>
      </c>
      <c r="K1183" s="1991">
        <v>2884890</v>
      </c>
      <c r="L1183" s="1581">
        <f t="shared" si="76"/>
        <v>60</v>
      </c>
      <c r="M1183" s="1992" t="s">
        <v>4387</v>
      </c>
      <c r="N1183" s="1993" t="s">
        <v>4388</v>
      </c>
    </row>
    <row r="1184" spans="1:14">
      <c r="A1184" s="1981">
        <v>1001</v>
      </c>
      <c r="B1184" s="1988">
        <v>61</v>
      </c>
      <c r="C1184" s="1989" t="s">
        <v>4469</v>
      </c>
      <c r="D1184" s="1990" t="s">
        <v>3905</v>
      </c>
      <c r="E1184" s="1990" t="s">
        <v>435</v>
      </c>
      <c r="F1184" s="1991">
        <v>32</v>
      </c>
      <c r="G1184" s="1991">
        <v>5192775</v>
      </c>
      <c r="H1184" s="1991">
        <f t="shared" si="77"/>
        <v>166168800</v>
      </c>
      <c r="I1184" s="1991">
        <v>32</v>
      </c>
      <c r="J1184" s="1991">
        <v>5192802</v>
      </c>
      <c r="K1184" s="1991">
        <v>166169663.99999997</v>
      </c>
      <c r="L1184" s="1581">
        <f t="shared" si="76"/>
        <v>27</v>
      </c>
      <c r="M1184" s="1992" t="s">
        <v>4387</v>
      </c>
      <c r="N1184" s="1993" t="s">
        <v>4388</v>
      </c>
    </row>
    <row r="1185" spans="1:14" s="1741" customFormat="1">
      <c r="A1185" s="1996">
        <v>1002</v>
      </c>
      <c r="B1185" s="1997">
        <v>62</v>
      </c>
      <c r="C1185" s="1998" t="s">
        <v>4470</v>
      </c>
      <c r="D1185" s="1999" t="s">
        <v>4405</v>
      </c>
      <c r="E1185" s="1999" t="s">
        <v>435</v>
      </c>
      <c r="F1185" s="2000"/>
      <c r="G1185" s="2000">
        <v>10385550</v>
      </c>
      <c r="H1185" s="2000">
        <f t="shared" si="77"/>
        <v>0</v>
      </c>
      <c r="I1185" s="2000"/>
      <c r="J1185" s="2000">
        <v>10385603.999999998</v>
      </c>
      <c r="K1185" s="2000">
        <v>0</v>
      </c>
      <c r="L1185" s="2001">
        <f t="shared" si="76"/>
        <v>53.999999998137355</v>
      </c>
      <c r="M1185" s="2002" t="s">
        <v>4387</v>
      </c>
      <c r="N1185" s="2003" t="s">
        <v>4388</v>
      </c>
    </row>
    <row r="1186" spans="1:14">
      <c r="A1186" s="1981">
        <v>1003</v>
      </c>
      <c r="B1186" s="1988">
        <v>63</v>
      </c>
      <c r="C1186" s="1989" t="s">
        <v>4471</v>
      </c>
      <c r="D1186" s="1990" t="s">
        <v>4449</v>
      </c>
      <c r="E1186" s="1990" t="s">
        <v>435</v>
      </c>
      <c r="F1186" s="1991">
        <v>2</v>
      </c>
      <c r="G1186" s="1991">
        <v>1442385</v>
      </c>
      <c r="H1186" s="1991">
        <f t="shared" si="77"/>
        <v>2884770</v>
      </c>
      <c r="I1186" s="1991">
        <v>2</v>
      </c>
      <c r="J1186" s="1991">
        <v>1442445</v>
      </c>
      <c r="K1186" s="1991">
        <v>2884890</v>
      </c>
      <c r="L1186" s="1581">
        <f t="shared" si="76"/>
        <v>60</v>
      </c>
      <c r="M1186" s="1992" t="s">
        <v>4387</v>
      </c>
      <c r="N1186" s="1993" t="s">
        <v>4388</v>
      </c>
    </row>
    <row r="1187" spans="1:14">
      <c r="A1187" s="1981">
        <v>1004</v>
      </c>
      <c r="B1187" s="1988">
        <v>64</v>
      </c>
      <c r="C1187" s="1989" t="s">
        <v>4472</v>
      </c>
      <c r="D1187" s="1990" t="s">
        <v>3905</v>
      </c>
      <c r="E1187" s="1990" t="s">
        <v>435</v>
      </c>
      <c r="F1187" s="1991">
        <v>10</v>
      </c>
      <c r="G1187" s="1991">
        <v>7212135</v>
      </c>
      <c r="H1187" s="1991">
        <f t="shared" si="77"/>
        <v>72121350</v>
      </c>
      <c r="I1187" s="1991">
        <v>10</v>
      </c>
      <c r="J1187" s="1991">
        <v>7212224.9999999981</v>
      </c>
      <c r="K1187" s="1991">
        <v>72122249.999999985</v>
      </c>
      <c r="L1187" s="1581">
        <f t="shared" si="76"/>
        <v>89.999999998137355</v>
      </c>
      <c r="M1187" s="1992" t="s">
        <v>4387</v>
      </c>
      <c r="N1187" s="1993" t="s">
        <v>4388</v>
      </c>
    </row>
    <row r="1188" spans="1:14" s="1741" customFormat="1">
      <c r="A1188" s="1996">
        <v>1005</v>
      </c>
      <c r="B1188" s="1997">
        <v>65</v>
      </c>
      <c r="C1188" s="1998" t="s">
        <v>4473</v>
      </c>
      <c r="D1188" s="1999" t="s">
        <v>4405</v>
      </c>
      <c r="E1188" s="1999" t="s">
        <v>435</v>
      </c>
      <c r="F1188" s="2000"/>
      <c r="G1188" s="2000">
        <v>14424375</v>
      </c>
      <c r="H1188" s="2000">
        <f t="shared" si="77"/>
        <v>0</v>
      </c>
      <c r="I1188" s="2000"/>
      <c r="J1188" s="2000">
        <v>14424449.999999996</v>
      </c>
      <c r="K1188" s="2000">
        <v>0</v>
      </c>
      <c r="L1188" s="2001">
        <f t="shared" ref="L1188:L1251" si="78">J1188-G1188</f>
        <v>74.99999999627471</v>
      </c>
      <c r="M1188" s="2002" t="s">
        <v>4387</v>
      </c>
      <c r="N1188" s="2003" t="s">
        <v>4388</v>
      </c>
    </row>
    <row r="1189" spans="1:14">
      <c r="A1189" s="1981">
        <v>1006</v>
      </c>
      <c r="B1189" s="1988">
        <v>66</v>
      </c>
      <c r="C1189" s="1989" t="s">
        <v>4474</v>
      </c>
      <c r="D1189" s="1990" t="s">
        <v>4410</v>
      </c>
      <c r="E1189" s="1990" t="s">
        <v>435</v>
      </c>
      <c r="F1189" s="1991">
        <v>2</v>
      </c>
      <c r="G1189" s="1991">
        <v>1442385</v>
      </c>
      <c r="H1189" s="1991">
        <f t="shared" ref="H1189:H1252" si="79">G1189*F1189</f>
        <v>2884770</v>
      </c>
      <c r="I1189" s="1991">
        <v>2</v>
      </c>
      <c r="J1189" s="1991">
        <v>1442445</v>
      </c>
      <c r="K1189" s="1991">
        <v>2884890</v>
      </c>
      <c r="L1189" s="1581">
        <f t="shared" si="78"/>
        <v>60</v>
      </c>
      <c r="M1189" s="1992" t="s">
        <v>4387</v>
      </c>
      <c r="N1189" s="1993" t="s">
        <v>4388</v>
      </c>
    </row>
    <row r="1190" spans="1:14">
      <c r="A1190" s="1981">
        <v>1007</v>
      </c>
      <c r="B1190" s="1988">
        <v>67</v>
      </c>
      <c r="C1190" s="1989" t="s">
        <v>4475</v>
      </c>
      <c r="D1190" s="1990" t="s">
        <v>3905</v>
      </c>
      <c r="E1190" s="1990" t="s">
        <v>435</v>
      </c>
      <c r="F1190" s="1991">
        <v>6</v>
      </c>
      <c r="G1190" s="1991">
        <v>7212135</v>
      </c>
      <c r="H1190" s="1991">
        <f t="shared" si="79"/>
        <v>43272810</v>
      </c>
      <c r="I1190" s="1991">
        <v>6</v>
      </c>
      <c r="J1190" s="1991">
        <v>7212224.9999999981</v>
      </c>
      <c r="K1190" s="1991">
        <v>43273349.999999985</v>
      </c>
      <c r="L1190" s="1581">
        <f t="shared" si="78"/>
        <v>89.999999998137355</v>
      </c>
      <c r="M1190" s="1992" t="s">
        <v>4387</v>
      </c>
      <c r="N1190" s="1993" t="s">
        <v>4388</v>
      </c>
    </row>
    <row r="1191" spans="1:14">
      <c r="A1191" s="1981">
        <v>1008</v>
      </c>
      <c r="B1191" s="1988">
        <v>68</v>
      </c>
      <c r="C1191" s="1989" t="s">
        <v>4476</v>
      </c>
      <c r="D1191" s="1990" t="s">
        <v>4410</v>
      </c>
      <c r="E1191" s="1990" t="s">
        <v>435</v>
      </c>
      <c r="F1191" s="1991">
        <v>2</v>
      </c>
      <c r="G1191" s="1991">
        <v>1442385</v>
      </c>
      <c r="H1191" s="1991">
        <f t="shared" si="79"/>
        <v>2884770</v>
      </c>
      <c r="I1191" s="1991">
        <v>2</v>
      </c>
      <c r="J1191" s="1991">
        <v>1442445</v>
      </c>
      <c r="K1191" s="1991">
        <v>2884890</v>
      </c>
      <c r="L1191" s="1581">
        <f t="shared" si="78"/>
        <v>60</v>
      </c>
      <c r="M1191" s="1992" t="s">
        <v>4387</v>
      </c>
      <c r="N1191" s="1993" t="s">
        <v>4388</v>
      </c>
    </row>
    <row r="1192" spans="1:14">
      <c r="A1192" s="1981">
        <v>1009</v>
      </c>
      <c r="B1192" s="1988">
        <v>69</v>
      </c>
      <c r="C1192" s="1989" t="s">
        <v>4477</v>
      </c>
      <c r="D1192" s="1990" t="s">
        <v>3905</v>
      </c>
      <c r="E1192" s="1990" t="s">
        <v>435</v>
      </c>
      <c r="F1192" s="1991">
        <v>6</v>
      </c>
      <c r="G1192" s="1991">
        <v>9087330</v>
      </c>
      <c r="H1192" s="1991">
        <f t="shared" si="79"/>
        <v>54523980</v>
      </c>
      <c r="I1192" s="1991">
        <v>6</v>
      </c>
      <c r="J1192" s="1991">
        <v>9087403.4999999981</v>
      </c>
      <c r="K1192" s="1991">
        <v>54524420.999999985</v>
      </c>
      <c r="L1192" s="1581">
        <f t="shared" si="78"/>
        <v>73.499999998137355</v>
      </c>
      <c r="M1192" s="1992" t="s">
        <v>4387</v>
      </c>
      <c r="N1192" s="1993" t="s">
        <v>4388</v>
      </c>
    </row>
    <row r="1193" spans="1:14">
      <c r="A1193" s="1981">
        <v>1010</v>
      </c>
      <c r="B1193" s="1988">
        <v>70</v>
      </c>
      <c r="C1193" s="1989" t="s">
        <v>4478</v>
      </c>
      <c r="D1193" s="1990" t="s">
        <v>4410</v>
      </c>
      <c r="E1193" s="1990" t="s">
        <v>435</v>
      </c>
      <c r="F1193" s="1991">
        <v>2</v>
      </c>
      <c r="G1193" s="1991">
        <v>2163630</v>
      </c>
      <c r="H1193" s="1991">
        <f t="shared" si="79"/>
        <v>4327260</v>
      </c>
      <c r="I1193" s="1991">
        <v>2</v>
      </c>
      <c r="J1193" s="1991">
        <v>2163667.5</v>
      </c>
      <c r="K1193" s="1991">
        <v>4327335</v>
      </c>
      <c r="L1193" s="1581">
        <f t="shared" si="78"/>
        <v>37.5</v>
      </c>
      <c r="M1193" s="1992" t="s">
        <v>4387</v>
      </c>
      <c r="N1193" s="1993" t="s">
        <v>4388</v>
      </c>
    </row>
    <row r="1194" spans="1:14">
      <c r="A1194" s="1981">
        <v>1011</v>
      </c>
      <c r="B1194" s="1988">
        <v>71</v>
      </c>
      <c r="C1194" s="1989" t="s">
        <v>4479</v>
      </c>
      <c r="D1194" s="1990" t="s">
        <v>3035</v>
      </c>
      <c r="E1194" s="1990" t="s">
        <v>435</v>
      </c>
      <c r="F1194" s="1991">
        <v>17</v>
      </c>
      <c r="G1194" s="1991">
        <v>9087330</v>
      </c>
      <c r="H1194" s="1991">
        <f t="shared" si="79"/>
        <v>154484610</v>
      </c>
      <c r="I1194" s="1991">
        <v>17</v>
      </c>
      <c r="J1194" s="1991">
        <v>9087403.4999999981</v>
      </c>
      <c r="K1194" s="1991">
        <v>154485859.49999997</v>
      </c>
      <c r="L1194" s="1581">
        <f t="shared" si="78"/>
        <v>73.499999998137355</v>
      </c>
      <c r="M1194" s="1992" t="s">
        <v>4387</v>
      </c>
      <c r="N1194" s="1993" t="s">
        <v>4388</v>
      </c>
    </row>
    <row r="1195" spans="1:14">
      <c r="A1195" s="1981">
        <v>1012</v>
      </c>
      <c r="B1195" s="1988">
        <v>72</v>
      </c>
      <c r="C1195" s="1989" t="s">
        <v>4480</v>
      </c>
      <c r="D1195" s="1990" t="s">
        <v>4481</v>
      </c>
      <c r="E1195" s="1990" t="s">
        <v>435</v>
      </c>
      <c r="F1195" s="1991">
        <v>2</v>
      </c>
      <c r="G1195" s="1991">
        <v>1730925</v>
      </c>
      <c r="H1195" s="1991">
        <f t="shared" si="79"/>
        <v>3461850</v>
      </c>
      <c r="I1195" s="1991">
        <v>2</v>
      </c>
      <c r="J1195" s="1991">
        <v>1730934</v>
      </c>
      <c r="K1195" s="1991">
        <v>3461868</v>
      </c>
      <c r="L1195" s="1581">
        <f t="shared" si="78"/>
        <v>9</v>
      </c>
      <c r="M1195" s="1992" t="s">
        <v>4387</v>
      </c>
      <c r="N1195" s="1993" t="s">
        <v>4388</v>
      </c>
    </row>
    <row r="1196" spans="1:14">
      <c r="A1196" s="1981">
        <v>1013</v>
      </c>
      <c r="B1196" s="1988">
        <v>73</v>
      </c>
      <c r="C1196" s="1989" t="s">
        <v>4482</v>
      </c>
      <c r="D1196" s="1990" t="s">
        <v>3905</v>
      </c>
      <c r="E1196" s="1990" t="s">
        <v>435</v>
      </c>
      <c r="F1196" s="1991">
        <v>17</v>
      </c>
      <c r="G1196" s="1991">
        <v>9087330</v>
      </c>
      <c r="H1196" s="1991">
        <f t="shared" si="79"/>
        <v>154484610</v>
      </c>
      <c r="I1196" s="1991">
        <v>17</v>
      </c>
      <c r="J1196" s="1991">
        <v>9087403.4999999981</v>
      </c>
      <c r="K1196" s="1991">
        <v>154485859.49999997</v>
      </c>
      <c r="L1196" s="1581">
        <f t="shared" si="78"/>
        <v>73.499999998137355</v>
      </c>
      <c r="M1196" s="1992" t="s">
        <v>4387</v>
      </c>
      <c r="N1196" s="1993" t="s">
        <v>4388</v>
      </c>
    </row>
    <row r="1197" spans="1:14">
      <c r="A1197" s="1981">
        <v>1014</v>
      </c>
      <c r="B1197" s="1988">
        <v>74</v>
      </c>
      <c r="C1197" s="1989" t="s">
        <v>4483</v>
      </c>
      <c r="D1197" s="1990" t="s">
        <v>4449</v>
      </c>
      <c r="E1197" s="1990" t="s">
        <v>435</v>
      </c>
      <c r="F1197" s="1991">
        <v>2</v>
      </c>
      <c r="G1197" s="1991">
        <v>1730925</v>
      </c>
      <c r="H1197" s="1991">
        <f t="shared" si="79"/>
        <v>3461850</v>
      </c>
      <c r="I1197" s="1991">
        <v>2</v>
      </c>
      <c r="J1197" s="1991">
        <v>1730934</v>
      </c>
      <c r="K1197" s="1991">
        <v>3461868</v>
      </c>
      <c r="L1197" s="1581">
        <f t="shared" si="78"/>
        <v>9</v>
      </c>
      <c r="M1197" s="1992" t="s">
        <v>4387</v>
      </c>
      <c r="N1197" s="1993" t="s">
        <v>4388</v>
      </c>
    </row>
    <row r="1198" spans="1:14">
      <c r="A1198" s="1981">
        <v>1015</v>
      </c>
      <c r="B1198" s="1988">
        <v>75</v>
      </c>
      <c r="C1198" s="2004" t="s">
        <v>4484</v>
      </c>
      <c r="D1198" s="2005" t="s">
        <v>3905</v>
      </c>
      <c r="E1198" s="2005" t="s">
        <v>435</v>
      </c>
      <c r="F1198" s="1991">
        <v>20</v>
      </c>
      <c r="G1198" s="1991">
        <v>9087330</v>
      </c>
      <c r="H1198" s="1991">
        <f t="shared" si="79"/>
        <v>181746600</v>
      </c>
      <c r="I1198" s="1991">
        <v>20</v>
      </c>
      <c r="J1198" s="1991">
        <v>9087403.4999999981</v>
      </c>
      <c r="K1198" s="1991">
        <v>181748069.99999997</v>
      </c>
      <c r="L1198" s="1581">
        <f t="shared" si="78"/>
        <v>73.499999998137355</v>
      </c>
      <c r="M1198" s="1992" t="s">
        <v>4387</v>
      </c>
      <c r="N1198" s="1993" t="s">
        <v>4388</v>
      </c>
    </row>
    <row r="1199" spans="1:14">
      <c r="A1199" s="1981">
        <v>1016</v>
      </c>
      <c r="B1199" s="1988">
        <v>76</v>
      </c>
      <c r="C1199" s="1989" t="s">
        <v>4485</v>
      </c>
      <c r="D1199" s="1990" t="s">
        <v>4449</v>
      </c>
      <c r="E1199" s="1990" t="s">
        <v>435</v>
      </c>
      <c r="F1199" s="1991">
        <v>2</v>
      </c>
      <c r="G1199" s="1991">
        <v>1730925</v>
      </c>
      <c r="H1199" s="1991">
        <f t="shared" si="79"/>
        <v>3461850</v>
      </c>
      <c r="I1199" s="1991">
        <v>2</v>
      </c>
      <c r="J1199" s="1991">
        <v>1730934</v>
      </c>
      <c r="K1199" s="1991">
        <v>3461868</v>
      </c>
      <c r="L1199" s="1581">
        <f t="shared" si="78"/>
        <v>9</v>
      </c>
      <c r="M1199" s="1992" t="s">
        <v>4387</v>
      </c>
      <c r="N1199" s="1993" t="s">
        <v>4388</v>
      </c>
    </row>
    <row r="1200" spans="1:14">
      <c r="A1200" s="1981">
        <v>1017</v>
      </c>
      <c r="B1200" s="1988">
        <v>77</v>
      </c>
      <c r="C1200" s="1989" t="s">
        <v>4486</v>
      </c>
      <c r="D1200" s="1990" t="s">
        <v>3905</v>
      </c>
      <c r="E1200" s="1990" t="s">
        <v>435</v>
      </c>
      <c r="F1200" s="1991">
        <v>17</v>
      </c>
      <c r="G1200" s="1991">
        <v>9087330</v>
      </c>
      <c r="H1200" s="1991">
        <f t="shared" si="79"/>
        <v>154484610</v>
      </c>
      <c r="I1200" s="1991">
        <v>17</v>
      </c>
      <c r="J1200" s="1991">
        <v>9087403.4999999981</v>
      </c>
      <c r="K1200" s="1991">
        <v>154485859.49999997</v>
      </c>
      <c r="L1200" s="1581">
        <f t="shared" si="78"/>
        <v>73.499999998137355</v>
      </c>
      <c r="M1200" s="1992" t="s">
        <v>4387</v>
      </c>
      <c r="N1200" s="1993" t="s">
        <v>4388</v>
      </c>
    </row>
    <row r="1201" spans="1:14">
      <c r="A1201" s="1981">
        <v>1018</v>
      </c>
      <c r="B1201" s="1988">
        <v>78</v>
      </c>
      <c r="C1201" s="1989" t="s">
        <v>4487</v>
      </c>
      <c r="D1201" s="1990" t="s">
        <v>4449</v>
      </c>
      <c r="E1201" s="1990" t="s">
        <v>435</v>
      </c>
      <c r="F1201" s="1991">
        <v>2</v>
      </c>
      <c r="G1201" s="1991">
        <v>2163630</v>
      </c>
      <c r="H1201" s="1991">
        <f t="shared" si="79"/>
        <v>4327260</v>
      </c>
      <c r="I1201" s="1991">
        <v>2</v>
      </c>
      <c r="J1201" s="1991">
        <v>2163667.5</v>
      </c>
      <c r="K1201" s="1991">
        <v>4327335</v>
      </c>
      <c r="L1201" s="1581">
        <f t="shared" si="78"/>
        <v>37.5</v>
      </c>
      <c r="M1201" s="1992" t="s">
        <v>4387</v>
      </c>
      <c r="N1201" s="1993" t="s">
        <v>4388</v>
      </c>
    </row>
    <row r="1202" spans="1:14">
      <c r="A1202" s="1981">
        <v>1019</v>
      </c>
      <c r="B1202" s="1988">
        <v>79</v>
      </c>
      <c r="C1202" s="1989" t="s">
        <v>4488</v>
      </c>
      <c r="D1202" s="1990" t="s">
        <v>3905</v>
      </c>
      <c r="E1202" s="1990" t="s">
        <v>435</v>
      </c>
      <c r="F1202" s="1991">
        <v>12</v>
      </c>
      <c r="G1202" s="1991">
        <v>7212135</v>
      </c>
      <c r="H1202" s="1991">
        <f t="shared" si="79"/>
        <v>86545620</v>
      </c>
      <c r="I1202" s="1991">
        <v>12</v>
      </c>
      <c r="J1202" s="1991">
        <v>7212224.9999999981</v>
      </c>
      <c r="K1202" s="1991">
        <v>86546699.99999997</v>
      </c>
      <c r="L1202" s="1581">
        <f t="shared" si="78"/>
        <v>89.999999998137355</v>
      </c>
      <c r="M1202" s="1992" t="s">
        <v>4387</v>
      </c>
      <c r="N1202" s="1993" t="s">
        <v>4388</v>
      </c>
    </row>
    <row r="1203" spans="1:14">
      <c r="A1203" s="1981">
        <v>1020</v>
      </c>
      <c r="B1203" s="1988">
        <v>80</v>
      </c>
      <c r="C1203" s="1989" t="s">
        <v>4489</v>
      </c>
      <c r="D1203" s="1990" t="s">
        <v>4410</v>
      </c>
      <c r="E1203" s="1990" t="s">
        <v>435</v>
      </c>
      <c r="F1203" s="1991">
        <v>2</v>
      </c>
      <c r="G1203" s="1991">
        <v>2163630</v>
      </c>
      <c r="H1203" s="1991">
        <f t="shared" si="79"/>
        <v>4327260</v>
      </c>
      <c r="I1203" s="1991">
        <v>2</v>
      </c>
      <c r="J1203" s="1991">
        <v>2163667.5</v>
      </c>
      <c r="K1203" s="1991">
        <v>4327335</v>
      </c>
      <c r="L1203" s="1581">
        <f t="shared" si="78"/>
        <v>37.5</v>
      </c>
      <c r="M1203" s="1992" t="s">
        <v>4387</v>
      </c>
      <c r="N1203" s="1993" t="s">
        <v>4388</v>
      </c>
    </row>
    <row r="1204" spans="1:14">
      <c r="A1204" s="1981">
        <v>1021</v>
      </c>
      <c r="B1204" s="1988">
        <v>81</v>
      </c>
      <c r="C1204" s="1989" t="s">
        <v>4490</v>
      </c>
      <c r="D1204" s="1990" t="s">
        <v>3905</v>
      </c>
      <c r="E1204" s="1990" t="s">
        <v>435</v>
      </c>
      <c r="F1204" s="1991">
        <v>8</v>
      </c>
      <c r="G1204" s="1991">
        <v>20791995</v>
      </c>
      <c r="H1204" s="1991">
        <f t="shared" si="79"/>
        <v>166335960</v>
      </c>
      <c r="I1204" s="1991">
        <v>8</v>
      </c>
      <c r="J1204" s="1991">
        <v>20791999.999999996</v>
      </c>
      <c r="K1204" s="1991">
        <v>166335999.99999997</v>
      </c>
      <c r="L1204" s="1581">
        <f t="shared" si="78"/>
        <v>4.9999999962747097</v>
      </c>
      <c r="M1204" s="1992" t="s">
        <v>4387</v>
      </c>
      <c r="N1204" s="1993" t="s">
        <v>4388</v>
      </c>
    </row>
    <row r="1205" spans="1:14">
      <c r="A1205" s="1981">
        <v>1022</v>
      </c>
      <c r="B1205" s="1988">
        <v>82</v>
      </c>
      <c r="C1205" s="1989" t="s">
        <v>4491</v>
      </c>
      <c r="D1205" s="1990" t="s">
        <v>4449</v>
      </c>
      <c r="E1205" s="1990" t="s">
        <v>435</v>
      </c>
      <c r="F1205" s="1991">
        <v>2</v>
      </c>
      <c r="G1205" s="1991">
        <v>7277130</v>
      </c>
      <c r="H1205" s="1991">
        <f t="shared" si="79"/>
        <v>14554260</v>
      </c>
      <c r="I1205" s="1991">
        <v>2</v>
      </c>
      <c r="J1205" s="1991">
        <v>7277199.9999999981</v>
      </c>
      <c r="K1205" s="1991">
        <v>14554399.999999996</v>
      </c>
      <c r="L1205" s="1581">
        <f t="shared" si="78"/>
        <v>69.999999998137355</v>
      </c>
      <c r="M1205" s="1992" t="s">
        <v>4387</v>
      </c>
      <c r="N1205" s="1993" t="s">
        <v>4388</v>
      </c>
    </row>
    <row r="1206" spans="1:14">
      <c r="A1206" s="1981">
        <v>1023</v>
      </c>
      <c r="B1206" s="1988">
        <v>83</v>
      </c>
      <c r="C1206" s="1989" t="s">
        <v>4492</v>
      </c>
      <c r="D1206" s="1990" t="s">
        <v>4449</v>
      </c>
      <c r="E1206" s="1990" t="s">
        <v>435</v>
      </c>
      <c r="F1206" s="1991">
        <v>2</v>
      </c>
      <c r="G1206" s="1991">
        <v>5197920</v>
      </c>
      <c r="H1206" s="1991">
        <f t="shared" si="79"/>
        <v>10395840</v>
      </c>
      <c r="I1206" s="1991">
        <v>2</v>
      </c>
      <c r="J1206" s="1991">
        <v>5198000</v>
      </c>
      <c r="K1206" s="1991">
        <v>10395999.999999998</v>
      </c>
      <c r="L1206" s="1581">
        <f t="shared" si="78"/>
        <v>80</v>
      </c>
      <c r="M1206" s="1992" t="s">
        <v>4387</v>
      </c>
      <c r="N1206" s="1993" t="s">
        <v>4388</v>
      </c>
    </row>
    <row r="1207" spans="1:14">
      <c r="A1207" s="1981">
        <v>1024</v>
      </c>
      <c r="B1207" s="1988">
        <v>84</v>
      </c>
      <c r="C1207" s="1989" t="s">
        <v>4493</v>
      </c>
      <c r="D1207" s="1990" t="s">
        <v>3905</v>
      </c>
      <c r="E1207" s="1990" t="s">
        <v>435</v>
      </c>
      <c r="F1207" s="1991">
        <v>4</v>
      </c>
      <c r="G1207" s="1991">
        <v>5847660</v>
      </c>
      <c r="H1207" s="1991">
        <f t="shared" si="79"/>
        <v>23390640</v>
      </c>
      <c r="I1207" s="1991">
        <v>4</v>
      </c>
      <c r="J1207" s="1991">
        <v>5847749.9999999991</v>
      </c>
      <c r="K1207" s="1991">
        <v>23390999.999999996</v>
      </c>
      <c r="L1207" s="1581">
        <f t="shared" si="78"/>
        <v>89.999999999068677</v>
      </c>
      <c r="M1207" s="1992" t="s">
        <v>4387</v>
      </c>
      <c r="N1207" s="1993" t="s">
        <v>4388</v>
      </c>
    </row>
    <row r="1208" spans="1:14">
      <c r="A1208" s="1981">
        <v>1025</v>
      </c>
      <c r="B1208" s="1988">
        <v>85</v>
      </c>
      <c r="C1208" s="1989" t="s">
        <v>4494</v>
      </c>
      <c r="D1208" s="1990" t="s">
        <v>3330</v>
      </c>
      <c r="E1208" s="1990" t="s">
        <v>435</v>
      </c>
      <c r="F1208" s="1991">
        <v>2</v>
      </c>
      <c r="G1208" s="1991">
        <v>1299480</v>
      </c>
      <c r="H1208" s="1991">
        <f t="shared" si="79"/>
        <v>2598960</v>
      </c>
      <c r="I1208" s="1991">
        <v>2</v>
      </c>
      <c r="J1208" s="1991">
        <v>1299500</v>
      </c>
      <c r="K1208" s="1991">
        <v>2599000</v>
      </c>
      <c r="L1208" s="1581">
        <f t="shared" si="78"/>
        <v>20</v>
      </c>
      <c r="M1208" s="1992" t="s">
        <v>4387</v>
      </c>
      <c r="N1208" s="1993" t="s">
        <v>4388</v>
      </c>
    </row>
    <row r="1209" spans="1:14">
      <c r="A1209" s="1981">
        <v>1026</v>
      </c>
      <c r="B1209" s="1988">
        <v>86</v>
      </c>
      <c r="C1209" s="1989" t="s">
        <v>4495</v>
      </c>
      <c r="D1209" s="1990" t="s">
        <v>4405</v>
      </c>
      <c r="E1209" s="1990" t="s">
        <v>435</v>
      </c>
      <c r="F1209" s="1991">
        <v>40</v>
      </c>
      <c r="G1209" s="1991">
        <v>10395945</v>
      </c>
      <c r="H1209" s="1991">
        <f t="shared" si="79"/>
        <v>415837800</v>
      </c>
      <c r="I1209" s="1991">
        <v>40</v>
      </c>
      <c r="J1209" s="1991">
        <v>10395999.999999998</v>
      </c>
      <c r="K1209" s="1991">
        <v>415839999.99999994</v>
      </c>
      <c r="L1209" s="1581">
        <f t="shared" si="78"/>
        <v>54.999999998137355</v>
      </c>
      <c r="M1209" s="1992" t="s">
        <v>4387</v>
      </c>
      <c r="N1209" s="1993" t="s">
        <v>4388</v>
      </c>
    </row>
    <row r="1210" spans="1:14">
      <c r="A1210" s="1981">
        <v>1027</v>
      </c>
      <c r="B1210" s="1988">
        <v>87</v>
      </c>
      <c r="C1210" s="1989" t="s">
        <v>4496</v>
      </c>
      <c r="D1210" s="1990" t="s">
        <v>3330</v>
      </c>
      <c r="E1210" s="1990" t="s">
        <v>435</v>
      </c>
      <c r="F1210" s="1991">
        <v>2</v>
      </c>
      <c r="G1210" s="1991">
        <v>1299480</v>
      </c>
      <c r="H1210" s="1991">
        <f t="shared" si="79"/>
        <v>2598960</v>
      </c>
      <c r="I1210" s="1991">
        <v>2</v>
      </c>
      <c r="J1210" s="1991">
        <v>1299500</v>
      </c>
      <c r="K1210" s="1991">
        <v>2599000</v>
      </c>
      <c r="L1210" s="1581">
        <f t="shared" si="78"/>
        <v>20</v>
      </c>
      <c r="M1210" s="1992" t="s">
        <v>4387</v>
      </c>
      <c r="N1210" s="1993" t="s">
        <v>4388</v>
      </c>
    </row>
    <row r="1211" spans="1:14">
      <c r="A1211" s="1981">
        <v>1028</v>
      </c>
      <c r="B1211" s="1988">
        <v>88</v>
      </c>
      <c r="C1211" s="1989" t="s">
        <v>4497</v>
      </c>
      <c r="D1211" s="1990" t="s">
        <v>3905</v>
      </c>
      <c r="E1211" s="1990" t="s">
        <v>435</v>
      </c>
      <c r="F1211" s="1991">
        <v>10</v>
      </c>
      <c r="G1211" s="1991">
        <v>5769750</v>
      </c>
      <c r="H1211" s="1991">
        <f t="shared" si="79"/>
        <v>57697500</v>
      </c>
      <c r="I1211" s="1991">
        <v>10</v>
      </c>
      <c r="J1211" s="1991">
        <v>5769779.9999999991</v>
      </c>
      <c r="K1211" s="1991">
        <v>57697799.999999993</v>
      </c>
      <c r="L1211" s="1581">
        <f t="shared" si="78"/>
        <v>29.999999999068677</v>
      </c>
      <c r="M1211" s="1992" t="s">
        <v>4387</v>
      </c>
      <c r="N1211" s="1993" t="s">
        <v>4388</v>
      </c>
    </row>
    <row r="1212" spans="1:14">
      <c r="A1212" s="1981">
        <v>1029</v>
      </c>
      <c r="B1212" s="1988">
        <v>89</v>
      </c>
      <c r="C1212" s="1989" t="s">
        <v>4498</v>
      </c>
      <c r="D1212" s="1990" t="s">
        <v>4410</v>
      </c>
      <c r="E1212" s="1990" t="s">
        <v>435</v>
      </c>
      <c r="F1212" s="1991">
        <v>2</v>
      </c>
      <c r="G1212" s="1991">
        <v>1442385</v>
      </c>
      <c r="H1212" s="1991">
        <f t="shared" si="79"/>
        <v>2884770</v>
      </c>
      <c r="I1212" s="1991">
        <v>2</v>
      </c>
      <c r="J1212" s="1991">
        <v>1442445</v>
      </c>
      <c r="K1212" s="1991">
        <v>2884890</v>
      </c>
      <c r="L1212" s="1581">
        <f t="shared" si="78"/>
        <v>60</v>
      </c>
      <c r="M1212" s="1992" t="s">
        <v>4387</v>
      </c>
      <c r="N1212" s="1993" t="s">
        <v>4388</v>
      </c>
    </row>
    <row r="1213" spans="1:14">
      <c r="A1213" s="1981">
        <v>1030</v>
      </c>
      <c r="B1213" s="1988">
        <v>90</v>
      </c>
      <c r="C1213" s="1989" t="s">
        <v>4499</v>
      </c>
      <c r="D1213" s="1990" t="s">
        <v>3905</v>
      </c>
      <c r="E1213" s="1990" t="s">
        <v>435</v>
      </c>
      <c r="F1213" s="1991">
        <v>4</v>
      </c>
      <c r="G1213" s="1991">
        <v>5769750</v>
      </c>
      <c r="H1213" s="1991">
        <f t="shared" si="79"/>
        <v>23079000</v>
      </c>
      <c r="I1213" s="1991">
        <v>4</v>
      </c>
      <c r="J1213" s="1991">
        <v>5769779.9999999991</v>
      </c>
      <c r="K1213" s="1991">
        <v>23079119.999999996</v>
      </c>
      <c r="L1213" s="1581">
        <f t="shared" si="78"/>
        <v>29.999999999068677</v>
      </c>
      <c r="M1213" s="1992" t="s">
        <v>4387</v>
      </c>
      <c r="N1213" s="1993" t="s">
        <v>4388</v>
      </c>
    </row>
    <row r="1214" spans="1:14">
      <c r="A1214" s="1981">
        <v>1031</v>
      </c>
      <c r="B1214" s="1988">
        <v>91</v>
      </c>
      <c r="C1214" s="1989" t="s">
        <v>4500</v>
      </c>
      <c r="D1214" s="1990" t="s">
        <v>4410</v>
      </c>
      <c r="E1214" s="1990" t="s">
        <v>435</v>
      </c>
      <c r="F1214" s="1991">
        <v>2</v>
      </c>
      <c r="G1214" s="1991">
        <v>1442385</v>
      </c>
      <c r="H1214" s="1991">
        <f t="shared" si="79"/>
        <v>2884770</v>
      </c>
      <c r="I1214" s="1991">
        <v>2</v>
      </c>
      <c r="J1214" s="1991">
        <v>1442445</v>
      </c>
      <c r="K1214" s="1991">
        <v>2884890</v>
      </c>
      <c r="L1214" s="1581">
        <f t="shared" si="78"/>
        <v>60</v>
      </c>
      <c r="M1214" s="1992" t="s">
        <v>4387</v>
      </c>
      <c r="N1214" s="1993" t="s">
        <v>4388</v>
      </c>
    </row>
    <row r="1215" spans="1:14">
      <c r="A1215" s="1981">
        <v>1032</v>
      </c>
      <c r="B1215" s="1988">
        <v>92</v>
      </c>
      <c r="C1215" s="1989" t="s">
        <v>4501</v>
      </c>
      <c r="D1215" s="1990" t="s">
        <v>3905</v>
      </c>
      <c r="E1215" s="1990" t="s">
        <v>435</v>
      </c>
      <c r="F1215" s="1991">
        <v>6</v>
      </c>
      <c r="G1215" s="1991">
        <v>5769750</v>
      </c>
      <c r="H1215" s="1991">
        <f t="shared" si="79"/>
        <v>34618500</v>
      </c>
      <c r="I1215" s="1991">
        <v>6</v>
      </c>
      <c r="J1215" s="1991">
        <v>5769779.9999999991</v>
      </c>
      <c r="K1215" s="1991">
        <v>34618679.999999993</v>
      </c>
      <c r="L1215" s="1581">
        <f t="shared" si="78"/>
        <v>29.999999999068677</v>
      </c>
      <c r="M1215" s="1992" t="s">
        <v>4387</v>
      </c>
      <c r="N1215" s="1993" t="s">
        <v>4388</v>
      </c>
    </row>
    <row r="1216" spans="1:14">
      <c r="A1216" s="1981">
        <v>1033</v>
      </c>
      <c r="B1216" s="1988">
        <v>93</v>
      </c>
      <c r="C1216" s="1989" t="s">
        <v>4502</v>
      </c>
      <c r="D1216" s="1990" t="s">
        <v>4503</v>
      </c>
      <c r="E1216" s="1990" t="s">
        <v>435</v>
      </c>
      <c r="F1216" s="1991">
        <v>2</v>
      </c>
      <c r="G1216" s="1991">
        <v>1442385</v>
      </c>
      <c r="H1216" s="1991">
        <f t="shared" si="79"/>
        <v>2884770</v>
      </c>
      <c r="I1216" s="1991">
        <v>2</v>
      </c>
      <c r="J1216" s="1991">
        <v>1442445</v>
      </c>
      <c r="K1216" s="1991">
        <v>2884890</v>
      </c>
      <c r="L1216" s="1581">
        <f t="shared" si="78"/>
        <v>60</v>
      </c>
      <c r="M1216" s="1992" t="s">
        <v>4387</v>
      </c>
      <c r="N1216" s="1993" t="s">
        <v>4388</v>
      </c>
    </row>
    <row r="1217" spans="1:14">
      <c r="A1217" s="1981">
        <v>1034</v>
      </c>
      <c r="B1217" s="1988">
        <v>94</v>
      </c>
      <c r="C1217" s="1989" t="s">
        <v>4504</v>
      </c>
      <c r="D1217" s="1990" t="s">
        <v>3905</v>
      </c>
      <c r="E1217" s="1990" t="s">
        <v>435</v>
      </c>
      <c r="F1217" s="1991">
        <v>80</v>
      </c>
      <c r="G1217" s="1991">
        <v>30148335</v>
      </c>
      <c r="H1217" s="1991">
        <f t="shared" si="79"/>
        <v>2411866800</v>
      </c>
      <c r="I1217" s="1991">
        <v>80</v>
      </c>
      <c r="J1217" s="1991">
        <v>30148399.999999993</v>
      </c>
      <c r="K1217" s="1991">
        <v>2411871999.9999995</v>
      </c>
      <c r="L1217" s="1581">
        <f t="shared" si="78"/>
        <v>64.999999992549419</v>
      </c>
      <c r="M1217" s="1992" t="s">
        <v>4387</v>
      </c>
      <c r="N1217" s="1993" t="s">
        <v>4388</v>
      </c>
    </row>
    <row r="1218" spans="1:14">
      <c r="A1218" s="1981">
        <v>1035</v>
      </c>
      <c r="B1218" s="1988">
        <v>95</v>
      </c>
      <c r="C1218" s="1989" t="s">
        <v>4505</v>
      </c>
      <c r="D1218" s="1990" t="s">
        <v>4410</v>
      </c>
      <c r="E1218" s="1990" t="s">
        <v>435</v>
      </c>
      <c r="F1218" s="1991">
        <v>4</v>
      </c>
      <c r="G1218" s="1991">
        <v>1559355</v>
      </c>
      <c r="H1218" s="1991">
        <f t="shared" si="79"/>
        <v>6237420</v>
      </c>
      <c r="I1218" s="1991">
        <v>4</v>
      </c>
      <c r="J1218" s="1991">
        <v>1559400</v>
      </c>
      <c r="K1218" s="1991">
        <v>6237599.9999999991</v>
      </c>
      <c r="L1218" s="1581">
        <f t="shared" si="78"/>
        <v>45</v>
      </c>
      <c r="M1218" s="1992" t="s">
        <v>4387</v>
      </c>
      <c r="N1218" s="1993" t="s">
        <v>4388</v>
      </c>
    </row>
    <row r="1219" spans="1:14">
      <c r="A1219" s="1981">
        <v>1036</v>
      </c>
      <c r="B1219" s="1988">
        <v>96</v>
      </c>
      <c r="C1219" s="1989" t="s">
        <v>4506</v>
      </c>
      <c r="D1219" s="1990" t="s">
        <v>3905</v>
      </c>
      <c r="E1219" s="1990" t="s">
        <v>435</v>
      </c>
      <c r="F1219" s="1991">
        <v>4</v>
      </c>
      <c r="G1219" s="1991">
        <v>6490995</v>
      </c>
      <c r="H1219" s="1991">
        <f t="shared" si="79"/>
        <v>25963980</v>
      </c>
      <c r="I1219" s="1991">
        <v>4</v>
      </c>
      <c r="J1219" s="1991">
        <v>6491002.4999999991</v>
      </c>
      <c r="K1219" s="1991">
        <v>25964009.999999996</v>
      </c>
      <c r="L1219" s="1581">
        <f t="shared" si="78"/>
        <v>7.4999999990686774</v>
      </c>
      <c r="M1219" s="1992" t="s">
        <v>4387</v>
      </c>
      <c r="N1219" s="1993" t="s">
        <v>4388</v>
      </c>
    </row>
    <row r="1220" spans="1:14">
      <c r="A1220" s="1981">
        <v>1037</v>
      </c>
      <c r="B1220" s="1988">
        <v>97</v>
      </c>
      <c r="C1220" s="1989" t="s">
        <v>4507</v>
      </c>
      <c r="D1220" s="1990" t="s">
        <v>3330</v>
      </c>
      <c r="E1220" s="1990" t="s">
        <v>435</v>
      </c>
      <c r="F1220" s="1991">
        <v>2</v>
      </c>
      <c r="G1220" s="1991">
        <v>1442385</v>
      </c>
      <c r="H1220" s="1991">
        <f t="shared" si="79"/>
        <v>2884770</v>
      </c>
      <c r="I1220" s="1991">
        <v>2</v>
      </c>
      <c r="J1220" s="1991">
        <v>1442445</v>
      </c>
      <c r="K1220" s="1991">
        <v>2884890</v>
      </c>
      <c r="L1220" s="1581">
        <f t="shared" si="78"/>
        <v>60</v>
      </c>
      <c r="M1220" s="1992" t="s">
        <v>4387</v>
      </c>
      <c r="N1220" s="1993" t="s">
        <v>4388</v>
      </c>
    </row>
    <row r="1221" spans="1:14">
      <c r="A1221" s="1981">
        <v>1038</v>
      </c>
      <c r="B1221" s="1988">
        <v>98</v>
      </c>
      <c r="C1221" s="1989" t="s">
        <v>4508</v>
      </c>
      <c r="D1221" s="1990" t="s">
        <v>3905</v>
      </c>
      <c r="E1221" s="1990" t="s">
        <v>435</v>
      </c>
      <c r="F1221" s="1991">
        <v>8</v>
      </c>
      <c r="G1221" s="1991">
        <v>21246750</v>
      </c>
      <c r="H1221" s="1991">
        <f t="shared" si="79"/>
        <v>169974000</v>
      </c>
      <c r="I1221" s="1991">
        <v>8</v>
      </c>
      <c r="J1221" s="1991">
        <v>21246824.999999996</v>
      </c>
      <c r="K1221" s="1991">
        <v>169974599.99999997</v>
      </c>
      <c r="L1221" s="1581">
        <f t="shared" si="78"/>
        <v>74.99999999627471</v>
      </c>
      <c r="M1221" s="1992" t="s">
        <v>4387</v>
      </c>
      <c r="N1221" s="1993" t="s">
        <v>4388</v>
      </c>
    </row>
    <row r="1222" spans="1:14">
      <c r="A1222" s="1981">
        <v>1039</v>
      </c>
      <c r="B1222" s="1988">
        <v>99</v>
      </c>
      <c r="C1222" s="1989" t="s">
        <v>4509</v>
      </c>
      <c r="D1222" s="1990" t="s">
        <v>4449</v>
      </c>
      <c r="E1222" s="1990" t="s">
        <v>435</v>
      </c>
      <c r="F1222" s="1991">
        <v>2</v>
      </c>
      <c r="G1222" s="1991">
        <v>2598960</v>
      </c>
      <c r="H1222" s="1991">
        <f t="shared" si="79"/>
        <v>5197920</v>
      </c>
      <c r="I1222" s="1991">
        <v>2</v>
      </c>
      <c r="J1222" s="1991">
        <v>2599000</v>
      </c>
      <c r="K1222" s="1991">
        <v>5198000</v>
      </c>
      <c r="L1222" s="1581">
        <f t="shared" si="78"/>
        <v>40</v>
      </c>
      <c r="M1222" s="1992" t="s">
        <v>4387</v>
      </c>
      <c r="N1222" s="1993" t="s">
        <v>4388</v>
      </c>
    </row>
    <row r="1223" spans="1:14">
      <c r="A1223" s="1981">
        <v>1040</v>
      </c>
      <c r="B1223" s="1988">
        <v>100</v>
      </c>
      <c r="C1223" s="1989" t="s">
        <v>4510</v>
      </c>
      <c r="D1223" s="1990" t="s">
        <v>3905</v>
      </c>
      <c r="E1223" s="1990" t="s">
        <v>435</v>
      </c>
      <c r="F1223" s="1991">
        <v>6</v>
      </c>
      <c r="G1223" s="1991">
        <v>46158210</v>
      </c>
      <c r="H1223" s="1991">
        <f t="shared" si="79"/>
        <v>276949260</v>
      </c>
      <c r="I1223" s="1991">
        <v>6</v>
      </c>
      <c r="J1223" s="1991">
        <v>46158239.999999993</v>
      </c>
      <c r="K1223" s="1991">
        <v>276949439.99999994</v>
      </c>
      <c r="L1223" s="1581">
        <f t="shared" si="78"/>
        <v>29.999999992549419</v>
      </c>
      <c r="M1223" s="1992" t="s">
        <v>4387</v>
      </c>
      <c r="N1223" s="1993" t="s">
        <v>4388</v>
      </c>
    </row>
    <row r="1224" spans="1:14">
      <c r="A1224" s="1981">
        <v>1041</v>
      </c>
      <c r="B1224" s="1988">
        <v>101</v>
      </c>
      <c r="C1224" s="1989" t="s">
        <v>4511</v>
      </c>
      <c r="D1224" s="1990" t="s">
        <v>4410</v>
      </c>
      <c r="E1224" s="1990" t="s">
        <v>435</v>
      </c>
      <c r="F1224" s="1991">
        <v>2</v>
      </c>
      <c r="G1224" s="1991">
        <v>4615800</v>
      </c>
      <c r="H1224" s="1991">
        <f t="shared" si="79"/>
        <v>9231600</v>
      </c>
      <c r="I1224" s="1991">
        <v>2</v>
      </c>
      <c r="J1224" s="1991">
        <v>4615824</v>
      </c>
      <c r="K1224" s="1991">
        <v>9231647.9999999981</v>
      </c>
      <c r="L1224" s="1581">
        <f t="shared" si="78"/>
        <v>24</v>
      </c>
      <c r="M1224" s="1992" t="s">
        <v>4387</v>
      </c>
      <c r="N1224" s="1993" t="s">
        <v>4388</v>
      </c>
    </row>
    <row r="1225" spans="1:14">
      <c r="A1225" s="1981">
        <v>1042</v>
      </c>
      <c r="B1225" s="1988">
        <v>102</v>
      </c>
      <c r="C1225" s="1989" t="s">
        <v>4512</v>
      </c>
      <c r="D1225" s="1990" t="s">
        <v>3905</v>
      </c>
      <c r="E1225" s="1990" t="s">
        <v>435</v>
      </c>
      <c r="F1225" s="1991">
        <v>4</v>
      </c>
      <c r="G1225" s="1991">
        <v>17309250</v>
      </c>
      <c r="H1225" s="1991">
        <f t="shared" si="79"/>
        <v>69237000</v>
      </c>
      <c r="I1225" s="1991">
        <v>4</v>
      </c>
      <c r="J1225" s="1991">
        <v>17309339.999999996</v>
      </c>
      <c r="K1225" s="1991">
        <v>69237359.999999985</v>
      </c>
      <c r="L1225" s="1581">
        <f t="shared" si="78"/>
        <v>89.99999999627471</v>
      </c>
      <c r="M1225" s="1992" t="s">
        <v>4387</v>
      </c>
      <c r="N1225" s="1993" t="s">
        <v>4388</v>
      </c>
    </row>
    <row r="1226" spans="1:14">
      <c r="A1226" s="1981">
        <v>1043</v>
      </c>
      <c r="B1226" s="1988">
        <v>103</v>
      </c>
      <c r="C1226" s="1989" t="s">
        <v>4513</v>
      </c>
      <c r="D1226" s="1990" t="s">
        <v>4514</v>
      </c>
      <c r="E1226" s="1990" t="s">
        <v>435</v>
      </c>
      <c r="F1226" s="1991">
        <v>2</v>
      </c>
      <c r="G1226" s="1991">
        <v>5769750</v>
      </c>
      <c r="H1226" s="1991">
        <f t="shared" si="79"/>
        <v>11539500</v>
      </c>
      <c r="I1226" s="1991">
        <v>2</v>
      </c>
      <c r="J1226" s="1991">
        <v>5769779.9999999991</v>
      </c>
      <c r="K1226" s="1991">
        <v>11539559.999999998</v>
      </c>
      <c r="L1226" s="1581">
        <f t="shared" si="78"/>
        <v>29.999999999068677</v>
      </c>
      <c r="M1226" s="1992" t="s">
        <v>4387</v>
      </c>
      <c r="N1226" s="1993" t="s">
        <v>4388</v>
      </c>
    </row>
    <row r="1227" spans="1:14">
      <c r="A1227" s="1981">
        <v>1044</v>
      </c>
      <c r="B1227" s="1988">
        <v>104</v>
      </c>
      <c r="C1227" s="1989" t="s">
        <v>4515</v>
      </c>
      <c r="D1227" s="1990" t="s">
        <v>3905</v>
      </c>
      <c r="E1227" s="1990" t="s">
        <v>435</v>
      </c>
      <c r="F1227" s="1991">
        <v>4</v>
      </c>
      <c r="G1227" s="1991">
        <v>5192775</v>
      </c>
      <c r="H1227" s="1991">
        <f t="shared" si="79"/>
        <v>20771100</v>
      </c>
      <c r="I1227" s="1991">
        <v>4</v>
      </c>
      <c r="J1227" s="1991">
        <v>5192802</v>
      </c>
      <c r="K1227" s="1991">
        <v>20771207.999999996</v>
      </c>
      <c r="L1227" s="1581">
        <f t="shared" si="78"/>
        <v>27</v>
      </c>
      <c r="M1227" s="1992" t="s">
        <v>4387</v>
      </c>
      <c r="N1227" s="1993" t="s">
        <v>4388</v>
      </c>
    </row>
    <row r="1228" spans="1:14">
      <c r="A1228" s="1981">
        <v>1045</v>
      </c>
      <c r="B1228" s="1988">
        <v>105</v>
      </c>
      <c r="C1228" s="1989" t="s">
        <v>4516</v>
      </c>
      <c r="D1228" s="1990" t="s">
        <v>4410</v>
      </c>
      <c r="E1228" s="1990" t="s">
        <v>435</v>
      </c>
      <c r="F1228" s="1991">
        <v>2</v>
      </c>
      <c r="G1228" s="1991">
        <v>1442385</v>
      </c>
      <c r="H1228" s="1991">
        <f t="shared" si="79"/>
        <v>2884770</v>
      </c>
      <c r="I1228" s="1991">
        <v>2</v>
      </c>
      <c r="J1228" s="1991">
        <v>1442445</v>
      </c>
      <c r="K1228" s="1991">
        <v>2884890</v>
      </c>
      <c r="L1228" s="1581">
        <f t="shared" si="78"/>
        <v>60</v>
      </c>
      <c r="M1228" s="1992" t="s">
        <v>4387</v>
      </c>
      <c r="N1228" s="1993" t="s">
        <v>4388</v>
      </c>
    </row>
    <row r="1229" spans="1:14">
      <c r="A1229" s="1981">
        <v>1046</v>
      </c>
      <c r="B1229" s="1988">
        <v>106</v>
      </c>
      <c r="C1229" s="1989" t="s">
        <v>4517</v>
      </c>
      <c r="D1229" s="1990" t="s">
        <v>3905</v>
      </c>
      <c r="E1229" s="1990" t="s">
        <v>435</v>
      </c>
      <c r="F1229" s="1991">
        <v>3</v>
      </c>
      <c r="G1229" s="1991">
        <v>10385550</v>
      </c>
      <c r="H1229" s="1991">
        <f t="shared" si="79"/>
        <v>31156650</v>
      </c>
      <c r="I1229" s="1991">
        <v>3</v>
      </c>
      <c r="J1229" s="1991">
        <v>10385603.999999998</v>
      </c>
      <c r="K1229" s="1991">
        <v>31156811.999999993</v>
      </c>
      <c r="L1229" s="1581">
        <f t="shared" si="78"/>
        <v>53.999999998137355</v>
      </c>
      <c r="M1229" s="1992" t="s">
        <v>4387</v>
      </c>
      <c r="N1229" s="1993" t="s">
        <v>4388</v>
      </c>
    </row>
    <row r="1230" spans="1:14">
      <c r="A1230" s="1981">
        <v>1047</v>
      </c>
      <c r="B1230" s="1988">
        <v>107</v>
      </c>
      <c r="C1230" s="1989" t="s">
        <v>4518</v>
      </c>
      <c r="D1230" s="1990" t="s">
        <v>4410</v>
      </c>
      <c r="E1230" s="1990" t="s">
        <v>435</v>
      </c>
      <c r="F1230" s="1991">
        <v>1</v>
      </c>
      <c r="G1230" s="1991">
        <v>2596335</v>
      </c>
      <c r="H1230" s="1991">
        <f t="shared" si="79"/>
        <v>2596335</v>
      </c>
      <c r="I1230" s="1991">
        <v>1</v>
      </c>
      <c r="J1230" s="1991">
        <v>2596401</v>
      </c>
      <c r="K1230" s="1991">
        <v>2596401</v>
      </c>
      <c r="L1230" s="1581">
        <f t="shared" si="78"/>
        <v>66</v>
      </c>
      <c r="M1230" s="1992" t="s">
        <v>4387</v>
      </c>
      <c r="N1230" s="1993" t="s">
        <v>4388</v>
      </c>
    </row>
    <row r="1231" spans="1:14">
      <c r="A1231" s="1981">
        <v>1048</v>
      </c>
      <c r="B1231" s="1988">
        <v>108</v>
      </c>
      <c r="C1231" s="2004" t="s">
        <v>4519</v>
      </c>
      <c r="D1231" s="2005" t="s">
        <v>3905</v>
      </c>
      <c r="E1231" s="2005" t="s">
        <v>435</v>
      </c>
      <c r="F1231" s="1991">
        <v>6</v>
      </c>
      <c r="G1231" s="1991">
        <v>10395945</v>
      </c>
      <c r="H1231" s="1991">
        <f t="shared" si="79"/>
        <v>62375670</v>
      </c>
      <c r="I1231" s="1991">
        <v>6</v>
      </c>
      <c r="J1231" s="1991">
        <v>10395999.999999998</v>
      </c>
      <c r="K1231" s="1991">
        <v>62375999.999999985</v>
      </c>
      <c r="L1231" s="1581">
        <f t="shared" si="78"/>
        <v>54.999999998137355</v>
      </c>
      <c r="M1231" s="1992" t="s">
        <v>4387</v>
      </c>
      <c r="N1231" s="1993" t="s">
        <v>4388</v>
      </c>
    </row>
    <row r="1232" spans="1:14">
      <c r="A1232" s="1981">
        <v>1049</v>
      </c>
      <c r="B1232" s="1988">
        <v>109</v>
      </c>
      <c r="C1232" s="1989" t="s">
        <v>4520</v>
      </c>
      <c r="D1232" s="1990" t="s">
        <v>4410</v>
      </c>
      <c r="E1232" s="1990" t="s">
        <v>435</v>
      </c>
      <c r="F1232" s="1991">
        <v>2</v>
      </c>
      <c r="G1232" s="1991">
        <v>7796985</v>
      </c>
      <c r="H1232" s="1991">
        <f t="shared" si="79"/>
        <v>15593970</v>
      </c>
      <c r="I1232" s="1991">
        <v>2</v>
      </c>
      <c r="J1232" s="1991">
        <v>7796999.9999999981</v>
      </c>
      <c r="K1232" s="1991">
        <v>15593999.999999996</v>
      </c>
      <c r="L1232" s="1581">
        <f t="shared" si="78"/>
        <v>14.999999998137355</v>
      </c>
      <c r="M1232" s="1992" t="s">
        <v>4387</v>
      </c>
      <c r="N1232" s="1993" t="s">
        <v>4388</v>
      </c>
    </row>
    <row r="1233" spans="1:14">
      <c r="A1233" s="1981">
        <v>1050</v>
      </c>
      <c r="B1233" s="1988">
        <v>110</v>
      </c>
      <c r="C1233" s="1989" t="s">
        <v>4521</v>
      </c>
      <c r="D1233" s="1990" t="s">
        <v>3905</v>
      </c>
      <c r="E1233" s="1990" t="s">
        <v>435</v>
      </c>
      <c r="F1233" s="1991">
        <v>6</v>
      </c>
      <c r="G1233" s="1991">
        <v>10395945</v>
      </c>
      <c r="H1233" s="1991">
        <f t="shared" si="79"/>
        <v>62375670</v>
      </c>
      <c r="I1233" s="1991">
        <v>6</v>
      </c>
      <c r="J1233" s="1991">
        <v>10395999.999999998</v>
      </c>
      <c r="K1233" s="1991">
        <v>62375999.999999985</v>
      </c>
      <c r="L1233" s="1581">
        <f t="shared" si="78"/>
        <v>54.999999998137355</v>
      </c>
      <c r="M1233" s="1992" t="s">
        <v>4387</v>
      </c>
      <c r="N1233" s="1993" t="s">
        <v>4388</v>
      </c>
    </row>
    <row r="1234" spans="1:14">
      <c r="A1234" s="1981">
        <v>1051</v>
      </c>
      <c r="B1234" s="1988">
        <v>111</v>
      </c>
      <c r="C1234" s="1989" t="s">
        <v>4522</v>
      </c>
      <c r="D1234" s="1990" t="s">
        <v>4410</v>
      </c>
      <c r="E1234" s="1990" t="s">
        <v>435</v>
      </c>
      <c r="F1234" s="1991">
        <v>2</v>
      </c>
      <c r="G1234" s="1991">
        <v>7796985</v>
      </c>
      <c r="H1234" s="1991">
        <f t="shared" si="79"/>
        <v>15593970</v>
      </c>
      <c r="I1234" s="1991">
        <v>2</v>
      </c>
      <c r="J1234" s="1991">
        <v>7796999.9999999981</v>
      </c>
      <c r="K1234" s="1991">
        <v>15593999.999999996</v>
      </c>
      <c r="L1234" s="1581">
        <f t="shared" si="78"/>
        <v>14.999999998137355</v>
      </c>
      <c r="M1234" s="1992" t="s">
        <v>4387</v>
      </c>
      <c r="N1234" s="1993" t="s">
        <v>4388</v>
      </c>
    </row>
    <row r="1235" spans="1:14">
      <c r="A1235" s="1981">
        <v>1052</v>
      </c>
      <c r="B1235" s="1988">
        <v>112</v>
      </c>
      <c r="C1235" s="1989" t="s">
        <v>4523</v>
      </c>
      <c r="D1235" s="1990" t="s">
        <v>4524</v>
      </c>
      <c r="E1235" s="1990" t="s">
        <v>435</v>
      </c>
      <c r="F1235" s="1991">
        <v>2</v>
      </c>
      <c r="G1235" s="1991">
        <v>9375870</v>
      </c>
      <c r="H1235" s="1991">
        <f t="shared" si="79"/>
        <v>18751740</v>
      </c>
      <c r="I1235" s="1991">
        <v>2</v>
      </c>
      <c r="J1235" s="1991">
        <v>9375892.4999999981</v>
      </c>
      <c r="K1235" s="1991">
        <v>18751784.999999996</v>
      </c>
      <c r="L1235" s="1581">
        <f t="shared" si="78"/>
        <v>22.499999998137355</v>
      </c>
      <c r="M1235" s="1992" t="s">
        <v>4387</v>
      </c>
      <c r="N1235" s="1993" t="s">
        <v>4388</v>
      </c>
    </row>
    <row r="1236" spans="1:14">
      <c r="A1236" s="1981">
        <v>1053</v>
      </c>
      <c r="B1236" s="1988">
        <v>113</v>
      </c>
      <c r="C1236" s="1989" t="s">
        <v>4525</v>
      </c>
      <c r="D1236" s="1990" t="s">
        <v>3905</v>
      </c>
      <c r="E1236" s="1990" t="s">
        <v>435</v>
      </c>
      <c r="F1236" s="1991">
        <v>8</v>
      </c>
      <c r="G1236" s="1991">
        <v>50030715</v>
      </c>
      <c r="H1236" s="1991">
        <f t="shared" si="79"/>
        <v>400245720</v>
      </c>
      <c r="I1236" s="1991">
        <v>8</v>
      </c>
      <c r="J1236" s="1991">
        <v>50030749.999999993</v>
      </c>
      <c r="K1236" s="1991">
        <v>400245999.99999994</v>
      </c>
      <c r="L1236" s="1581">
        <f t="shared" si="78"/>
        <v>34.999999992549419</v>
      </c>
      <c r="M1236" s="1992" t="s">
        <v>4387</v>
      </c>
      <c r="N1236" s="1993" t="s">
        <v>4388</v>
      </c>
    </row>
    <row r="1237" spans="1:14">
      <c r="A1237" s="1981">
        <v>1054</v>
      </c>
      <c r="B1237" s="1988">
        <v>114</v>
      </c>
      <c r="C1237" s="1989" t="s">
        <v>4526</v>
      </c>
      <c r="D1237" s="1990" t="s">
        <v>4410</v>
      </c>
      <c r="E1237" s="1990" t="s">
        <v>435</v>
      </c>
      <c r="F1237" s="1991">
        <v>2</v>
      </c>
      <c r="G1237" s="1991">
        <v>7147245</v>
      </c>
      <c r="H1237" s="1991">
        <f t="shared" si="79"/>
        <v>14294490</v>
      </c>
      <c r="I1237" s="1991">
        <v>2</v>
      </c>
      <c r="J1237" s="1991">
        <v>7147249.9999999981</v>
      </c>
      <c r="K1237" s="1991">
        <v>14294499.999999996</v>
      </c>
      <c r="L1237" s="1581">
        <f t="shared" si="78"/>
        <v>4.9999999981373549</v>
      </c>
      <c r="M1237" s="1992" t="s">
        <v>4387</v>
      </c>
      <c r="N1237" s="1993" t="s">
        <v>4388</v>
      </c>
    </row>
    <row r="1238" spans="1:14">
      <c r="A1238" s="1981">
        <v>1055</v>
      </c>
      <c r="B1238" s="1988">
        <v>115</v>
      </c>
      <c r="C1238" s="1989" t="s">
        <v>4527</v>
      </c>
      <c r="D1238" s="1990" t="s">
        <v>3905</v>
      </c>
      <c r="E1238" s="1990" t="s">
        <v>435</v>
      </c>
      <c r="F1238" s="1991">
        <v>8</v>
      </c>
      <c r="G1238" s="1991">
        <v>50030715</v>
      </c>
      <c r="H1238" s="1991">
        <f t="shared" si="79"/>
        <v>400245720</v>
      </c>
      <c r="I1238" s="1991">
        <v>8</v>
      </c>
      <c r="J1238" s="1991">
        <v>50030749.999999993</v>
      </c>
      <c r="K1238" s="1991">
        <v>400245999.99999994</v>
      </c>
      <c r="L1238" s="1581">
        <f t="shared" si="78"/>
        <v>34.999999992549419</v>
      </c>
      <c r="M1238" s="1992" t="s">
        <v>4387</v>
      </c>
      <c r="N1238" s="1993" t="s">
        <v>4388</v>
      </c>
    </row>
    <row r="1239" spans="1:14">
      <c r="A1239" s="1981">
        <v>1056</v>
      </c>
      <c r="B1239" s="1988">
        <v>116</v>
      </c>
      <c r="C1239" s="1989" t="s">
        <v>4528</v>
      </c>
      <c r="D1239" s="1990" t="s">
        <v>4410</v>
      </c>
      <c r="E1239" s="1990" t="s">
        <v>435</v>
      </c>
      <c r="F1239" s="1991">
        <v>2</v>
      </c>
      <c r="G1239" s="1991">
        <v>7147245</v>
      </c>
      <c r="H1239" s="1991">
        <f t="shared" si="79"/>
        <v>14294490</v>
      </c>
      <c r="I1239" s="1991">
        <v>2</v>
      </c>
      <c r="J1239" s="1991">
        <v>7147249.9999999981</v>
      </c>
      <c r="K1239" s="1991">
        <v>14294499.999999996</v>
      </c>
      <c r="L1239" s="1581">
        <f t="shared" si="78"/>
        <v>4.9999999981373549</v>
      </c>
      <c r="M1239" s="1992" t="s">
        <v>4387</v>
      </c>
      <c r="N1239" s="1993" t="s">
        <v>4388</v>
      </c>
    </row>
    <row r="1240" spans="1:14">
      <c r="A1240" s="1981">
        <v>1057</v>
      </c>
      <c r="B1240" s="1988">
        <v>117</v>
      </c>
      <c r="C1240" s="1989" t="s">
        <v>4529</v>
      </c>
      <c r="D1240" s="1990" t="s">
        <v>4530</v>
      </c>
      <c r="E1240" s="1990" t="s">
        <v>435</v>
      </c>
      <c r="F1240" s="1991">
        <v>22</v>
      </c>
      <c r="G1240" s="1991">
        <v>2019360</v>
      </c>
      <c r="H1240" s="1991">
        <f t="shared" si="79"/>
        <v>44425920</v>
      </c>
      <c r="I1240" s="1991">
        <v>22</v>
      </c>
      <c r="J1240" s="1991">
        <v>2019423</v>
      </c>
      <c r="K1240" s="1991">
        <v>44427305.999999993</v>
      </c>
      <c r="L1240" s="1581">
        <f t="shared" si="78"/>
        <v>63</v>
      </c>
      <c r="M1240" s="1992" t="s">
        <v>4387</v>
      </c>
      <c r="N1240" s="1993" t="s">
        <v>4388</v>
      </c>
    </row>
    <row r="1241" spans="1:14">
      <c r="A1241" s="1981">
        <v>1058</v>
      </c>
      <c r="B1241" s="1988">
        <v>118</v>
      </c>
      <c r="C1241" s="1989" t="s">
        <v>4531</v>
      </c>
      <c r="D1241" s="1990" t="s">
        <v>4532</v>
      </c>
      <c r="E1241" s="1990" t="s">
        <v>435</v>
      </c>
      <c r="F1241" s="1991">
        <v>2</v>
      </c>
      <c r="G1241" s="1991">
        <v>1860705</v>
      </c>
      <c r="H1241" s="1991">
        <f t="shared" si="79"/>
        <v>3721410</v>
      </c>
      <c r="I1241" s="1991">
        <v>2</v>
      </c>
      <c r="J1241" s="1991">
        <v>1860754.05</v>
      </c>
      <c r="K1241" s="1991">
        <v>3721508.1</v>
      </c>
      <c r="L1241" s="1581">
        <f t="shared" si="78"/>
        <v>49.050000000046566</v>
      </c>
      <c r="M1241" s="1992" t="s">
        <v>4387</v>
      </c>
      <c r="N1241" s="1993" t="s">
        <v>4388</v>
      </c>
    </row>
    <row r="1242" spans="1:14">
      <c r="A1242" s="1981">
        <v>1059</v>
      </c>
      <c r="B1242" s="1988">
        <v>119</v>
      </c>
      <c r="C1242" s="1989" t="s">
        <v>4533</v>
      </c>
      <c r="D1242" s="1990" t="s">
        <v>3549</v>
      </c>
      <c r="E1242" s="1990" t="s">
        <v>435</v>
      </c>
      <c r="F1242" s="1991">
        <v>4</v>
      </c>
      <c r="G1242" s="1991">
        <v>1730925</v>
      </c>
      <c r="H1242" s="1991">
        <f t="shared" si="79"/>
        <v>6923700</v>
      </c>
      <c r="I1242" s="1991">
        <v>4</v>
      </c>
      <c r="J1242" s="1991">
        <v>1730934</v>
      </c>
      <c r="K1242" s="1991">
        <v>6923735.9999999981</v>
      </c>
      <c r="L1242" s="1581">
        <f t="shared" si="78"/>
        <v>9</v>
      </c>
      <c r="M1242" s="1992" t="s">
        <v>4387</v>
      </c>
      <c r="N1242" s="1993" t="s">
        <v>4388</v>
      </c>
    </row>
    <row r="1243" spans="1:14">
      <c r="A1243" s="1981">
        <v>1060</v>
      </c>
      <c r="B1243" s="1988">
        <v>120</v>
      </c>
      <c r="C1243" s="1989" t="s">
        <v>4534</v>
      </c>
      <c r="D1243" s="1990" t="s">
        <v>4535</v>
      </c>
      <c r="E1243" s="1990" t="s">
        <v>435</v>
      </c>
      <c r="F1243" s="1991">
        <v>4</v>
      </c>
      <c r="G1243" s="1991">
        <v>3173310</v>
      </c>
      <c r="H1243" s="1991">
        <f t="shared" si="79"/>
        <v>12693240</v>
      </c>
      <c r="I1243" s="1991">
        <v>4</v>
      </c>
      <c r="J1243" s="1991">
        <v>3173379</v>
      </c>
      <c r="K1243" s="1991">
        <v>12693515.999999998</v>
      </c>
      <c r="L1243" s="1581">
        <f t="shared" si="78"/>
        <v>69</v>
      </c>
      <c r="M1243" s="1992" t="s">
        <v>4387</v>
      </c>
      <c r="N1243" s="1993" t="s">
        <v>4388</v>
      </c>
    </row>
    <row r="1244" spans="1:14">
      <c r="A1244" s="1981">
        <v>1061</v>
      </c>
      <c r="B1244" s="1988">
        <v>121</v>
      </c>
      <c r="C1244" s="1989" t="s">
        <v>4536</v>
      </c>
      <c r="D1244" s="1990" t="s">
        <v>4425</v>
      </c>
      <c r="E1244" s="1990" t="s">
        <v>435</v>
      </c>
      <c r="F1244" s="1991">
        <v>2</v>
      </c>
      <c r="G1244" s="1991">
        <v>1039500</v>
      </c>
      <c r="H1244" s="1991">
        <f t="shared" si="79"/>
        <v>2079000</v>
      </c>
      <c r="I1244" s="1991">
        <v>2</v>
      </c>
      <c r="J1244" s="1991">
        <v>1039600</v>
      </c>
      <c r="K1244" s="1991">
        <v>2079200</v>
      </c>
      <c r="L1244" s="1581">
        <f t="shared" si="78"/>
        <v>100</v>
      </c>
      <c r="M1244" s="1992" t="s">
        <v>4387</v>
      </c>
      <c r="N1244" s="1993" t="s">
        <v>4388</v>
      </c>
    </row>
    <row r="1245" spans="1:14">
      <c r="A1245" s="1981">
        <v>1062</v>
      </c>
      <c r="B1245" s="1988">
        <v>122</v>
      </c>
      <c r="C1245" s="1989" t="s">
        <v>4537</v>
      </c>
      <c r="D1245" s="1990" t="s">
        <v>4425</v>
      </c>
      <c r="E1245" s="1990" t="s">
        <v>435</v>
      </c>
      <c r="F1245" s="1991">
        <v>5</v>
      </c>
      <c r="G1245" s="1991">
        <v>1883805</v>
      </c>
      <c r="H1245" s="1991">
        <f t="shared" si="79"/>
        <v>9419025</v>
      </c>
      <c r="I1245" s="1991">
        <v>5</v>
      </c>
      <c r="J1245" s="1991">
        <v>1883833.17</v>
      </c>
      <c r="K1245" s="1991">
        <v>9419165.8499999978</v>
      </c>
      <c r="L1245" s="1581">
        <f t="shared" si="78"/>
        <v>28.169999999925494</v>
      </c>
      <c r="M1245" s="1992" t="s">
        <v>4387</v>
      </c>
      <c r="N1245" s="1993" t="s">
        <v>4388</v>
      </c>
    </row>
    <row r="1246" spans="1:14">
      <c r="A1246" s="1981">
        <v>1063</v>
      </c>
      <c r="B1246" s="1988">
        <v>123</v>
      </c>
      <c r="C1246" s="1989" t="s">
        <v>4538</v>
      </c>
      <c r="D1246" s="1990" t="s">
        <v>4539</v>
      </c>
      <c r="E1246" s="1990" t="s">
        <v>435</v>
      </c>
      <c r="F1246" s="1991">
        <v>4</v>
      </c>
      <c r="G1246" s="1991">
        <v>10395945</v>
      </c>
      <c r="H1246" s="1991">
        <f t="shared" si="79"/>
        <v>41583780</v>
      </c>
      <c r="I1246" s="1991">
        <v>4</v>
      </c>
      <c r="J1246" s="1991">
        <v>10395999.999999998</v>
      </c>
      <c r="K1246" s="1991">
        <v>41583999.999999993</v>
      </c>
      <c r="L1246" s="1581">
        <f t="shared" si="78"/>
        <v>54.999999998137355</v>
      </c>
      <c r="M1246" s="1992" t="s">
        <v>4387</v>
      </c>
      <c r="N1246" s="1993" t="s">
        <v>4388</v>
      </c>
    </row>
    <row r="1247" spans="1:14">
      <c r="A1247" s="1981">
        <v>1064</v>
      </c>
      <c r="B1247" s="1988">
        <v>124</v>
      </c>
      <c r="C1247" s="1989" t="s">
        <v>4540</v>
      </c>
      <c r="D1247" s="1990" t="s">
        <v>3549</v>
      </c>
      <c r="E1247" s="1990" t="s">
        <v>435</v>
      </c>
      <c r="F1247" s="1991">
        <v>2</v>
      </c>
      <c r="G1247" s="1991">
        <v>3173310</v>
      </c>
      <c r="H1247" s="1991">
        <f t="shared" si="79"/>
        <v>6346620</v>
      </c>
      <c r="I1247" s="1991">
        <v>2</v>
      </c>
      <c r="J1247" s="1991">
        <v>3173379</v>
      </c>
      <c r="K1247" s="1991">
        <v>6346757.9999999991</v>
      </c>
      <c r="L1247" s="1581">
        <f t="shared" si="78"/>
        <v>69</v>
      </c>
      <c r="M1247" s="1992" t="s">
        <v>4387</v>
      </c>
      <c r="N1247" s="1993" t="s">
        <v>4388</v>
      </c>
    </row>
    <row r="1248" spans="1:14">
      <c r="A1248" s="1981">
        <v>1065</v>
      </c>
      <c r="B1248" s="1988">
        <v>125</v>
      </c>
      <c r="C1248" s="1989" t="s">
        <v>4541</v>
      </c>
      <c r="D1248" s="1990" t="s">
        <v>4542</v>
      </c>
      <c r="E1248" s="1990" t="s">
        <v>435</v>
      </c>
      <c r="F1248" s="1991">
        <v>2</v>
      </c>
      <c r="G1248" s="1991">
        <v>2017950.0000000002</v>
      </c>
      <c r="H1248" s="1991">
        <f t="shared" si="79"/>
        <v>4035900.0000000005</v>
      </c>
      <c r="I1248" s="1991">
        <v>2</v>
      </c>
      <c r="J1248" s="1991">
        <v>2017980.5549999995</v>
      </c>
      <c r="K1248" s="1991">
        <v>4035961.11</v>
      </c>
      <c r="L1248" s="1581">
        <f t="shared" si="78"/>
        <v>30.554999999236315</v>
      </c>
      <c r="M1248" s="1992" t="s">
        <v>4387</v>
      </c>
      <c r="N1248" s="1993" t="s">
        <v>4388</v>
      </c>
    </row>
    <row r="1249" spans="1:14">
      <c r="A1249" s="1981">
        <v>1066</v>
      </c>
      <c r="B1249" s="1988">
        <v>126</v>
      </c>
      <c r="C1249" s="1989" t="s">
        <v>4543</v>
      </c>
      <c r="D1249" s="1990" t="s">
        <v>4544</v>
      </c>
      <c r="E1249" s="1990" t="s">
        <v>435</v>
      </c>
      <c r="F1249" s="1991">
        <v>80</v>
      </c>
      <c r="G1249" s="1991">
        <v>1895300.0000000002</v>
      </c>
      <c r="H1249" s="1991">
        <f t="shared" si="79"/>
        <v>151624000.00000003</v>
      </c>
      <c r="I1249" s="1991">
        <v>80</v>
      </c>
      <c r="J1249" s="1991">
        <v>1895372.73</v>
      </c>
      <c r="K1249" s="1991">
        <v>151629818.39999998</v>
      </c>
      <c r="L1249" s="1581">
        <f t="shared" si="78"/>
        <v>72.729999999748543</v>
      </c>
      <c r="M1249" s="1992" t="s">
        <v>4387</v>
      </c>
      <c r="N1249" s="1993" t="s">
        <v>4388</v>
      </c>
    </row>
    <row r="1250" spans="1:14">
      <c r="A1250" s="1981">
        <v>1067</v>
      </c>
      <c r="B1250" s="1988">
        <v>127</v>
      </c>
      <c r="C1250" s="1989" t="s">
        <v>4545</v>
      </c>
      <c r="D1250" s="1990" t="s">
        <v>4544</v>
      </c>
      <c r="E1250" s="1990" t="s">
        <v>435</v>
      </c>
      <c r="F1250" s="1991">
        <v>80</v>
      </c>
      <c r="G1250" s="1991">
        <v>2247300</v>
      </c>
      <c r="H1250" s="1991">
        <f t="shared" si="79"/>
        <v>179784000</v>
      </c>
      <c r="I1250" s="1991">
        <v>80</v>
      </c>
      <c r="J1250" s="1991">
        <v>2247329.31</v>
      </c>
      <c r="K1250" s="1991">
        <v>179786344.79999995</v>
      </c>
      <c r="L1250" s="1581">
        <f t="shared" si="78"/>
        <v>29.310000000055879</v>
      </c>
      <c r="M1250" s="1992" t="s">
        <v>4387</v>
      </c>
      <c r="N1250" s="1993" t="s">
        <v>4388</v>
      </c>
    </row>
    <row r="1251" spans="1:14">
      <c r="A1251" s="1981">
        <v>1068</v>
      </c>
      <c r="B1251" s="1988">
        <v>128</v>
      </c>
      <c r="C1251" s="1989" t="s">
        <v>4546</v>
      </c>
      <c r="D1251" s="1990" t="s">
        <v>4547</v>
      </c>
      <c r="E1251" s="1990" t="s">
        <v>435</v>
      </c>
      <c r="F1251" s="1991">
        <v>50</v>
      </c>
      <c r="G1251" s="1991">
        <v>1497210.0000000002</v>
      </c>
      <c r="H1251" s="1991">
        <f t="shared" si="79"/>
        <v>74860500.000000015</v>
      </c>
      <c r="I1251" s="1991">
        <v>50</v>
      </c>
      <c r="J1251" s="1991">
        <v>1497257.91</v>
      </c>
      <c r="K1251" s="1991">
        <v>74862895.5</v>
      </c>
      <c r="L1251" s="1581">
        <f t="shared" si="78"/>
        <v>47.90999999968335</v>
      </c>
      <c r="M1251" s="1992" t="s">
        <v>4387</v>
      </c>
      <c r="N1251" s="1993" t="s">
        <v>4388</v>
      </c>
    </row>
    <row r="1252" spans="1:14">
      <c r="A1252" s="1981">
        <v>1069</v>
      </c>
      <c r="B1252" s="1988">
        <v>129</v>
      </c>
      <c r="C1252" s="1989" t="s">
        <v>4548</v>
      </c>
      <c r="D1252" s="1990" t="s">
        <v>4549</v>
      </c>
      <c r="E1252" s="1990" t="s">
        <v>435</v>
      </c>
      <c r="F1252" s="1991">
        <v>4</v>
      </c>
      <c r="G1252" s="1991">
        <v>1944360.0000000002</v>
      </c>
      <c r="H1252" s="1991">
        <f t="shared" si="79"/>
        <v>7777440.0000000009</v>
      </c>
      <c r="I1252" s="1991">
        <v>4</v>
      </c>
      <c r="J1252" s="1991">
        <v>1944415.86</v>
      </c>
      <c r="K1252" s="1991">
        <v>7777663.4399999985</v>
      </c>
      <c r="L1252" s="1581">
        <f t="shared" ref="L1252:L1254" si="80">J1252-G1252</f>
        <v>55.859999999869615</v>
      </c>
      <c r="M1252" s="1992" t="s">
        <v>4387</v>
      </c>
      <c r="N1252" s="1993" t="s">
        <v>4388</v>
      </c>
    </row>
    <row r="1253" spans="1:14">
      <c r="A1253" s="1981">
        <v>1070</v>
      </c>
      <c r="B1253" s="1988">
        <v>130</v>
      </c>
      <c r="C1253" s="1989" t="s">
        <v>4550</v>
      </c>
      <c r="D1253" s="1990" t="s">
        <v>4551</v>
      </c>
      <c r="E1253" s="1990" t="s">
        <v>435</v>
      </c>
      <c r="F1253" s="1991">
        <v>25</v>
      </c>
      <c r="G1253" s="1991">
        <v>7613210.0000000009</v>
      </c>
      <c r="H1253" s="1991">
        <f>G1253*F1253</f>
        <v>190330250.00000003</v>
      </c>
      <c r="I1253" s="1991">
        <v>25</v>
      </c>
      <c r="J1253" s="1991">
        <v>7613224.7099999981</v>
      </c>
      <c r="K1253" s="1991">
        <v>190330617.74999994</v>
      </c>
      <c r="L1253" s="1581">
        <f t="shared" si="80"/>
        <v>14.709999997168779</v>
      </c>
      <c r="M1253" s="1992" t="s">
        <v>4391</v>
      </c>
      <c r="N1253" s="1993" t="s">
        <v>4388</v>
      </c>
    </row>
    <row r="1254" spans="1:14">
      <c r="A1254" s="1981">
        <v>1071</v>
      </c>
      <c r="B1254" s="2006">
        <v>131</v>
      </c>
      <c r="C1254" s="2007" t="s">
        <v>4552</v>
      </c>
      <c r="D1254" s="2008" t="s">
        <v>4553</v>
      </c>
      <c r="E1254" s="2008" t="s">
        <v>435</v>
      </c>
      <c r="F1254" s="2009">
        <v>2</v>
      </c>
      <c r="G1254" s="2009">
        <v>122607760.00000001</v>
      </c>
      <c r="H1254" s="2009">
        <f>G1254*F1254</f>
        <v>245215520.00000003</v>
      </c>
      <c r="I1254" s="2009">
        <v>2</v>
      </c>
      <c r="J1254" s="2009">
        <v>122607825</v>
      </c>
      <c r="K1254" s="2009">
        <v>245215650</v>
      </c>
      <c r="L1254" s="1581">
        <f t="shared" si="80"/>
        <v>64.999999985098839</v>
      </c>
      <c r="M1254" s="2010" t="s">
        <v>4554</v>
      </c>
      <c r="N1254" s="2011" t="s">
        <v>4388</v>
      </c>
    </row>
    <row r="1255" spans="1:14">
      <c r="A1255" s="1501"/>
      <c r="B1255" s="1502"/>
      <c r="C1255" s="1722" t="s">
        <v>958</v>
      </c>
      <c r="D1255" s="1536"/>
      <c r="E1255" s="1536"/>
      <c r="F1255" s="1723"/>
      <c r="G1255" s="1723"/>
      <c r="H1255" s="1506">
        <f>SUM(H1124:H1254)</f>
        <v>10666020830</v>
      </c>
      <c r="I1255" s="2012"/>
      <c r="J1255" s="1687"/>
      <c r="K1255" s="1547">
        <f>SUM(K1124:K1254)</f>
        <v>10666075565.814999</v>
      </c>
      <c r="L1255" s="1547"/>
      <c r="M1255" s="1510"/>
      <c r="N1255" s="1511"/>
    </row>
    <row r="1256" spans="1:14">
      <c r="A1256" s="1512"/>
      <c r="B1256" s="1513"/>
      <c r="C1256" s="1515"/>
      <c r="D1256" s="1515"/>
      <c r="E1256" s="1515"/>
      <c r="F1256" s="1589"/>
      <c r="G1256" s="1589"/>
      <c r="H1256" s="1589"/>
      <c r="I1256" s="1858"/>
      <c r="J1256" s="1585"/>
      <c r="K1256" s="1585"/>
      <c r="L1256" s="1585"/>
    </row>
    <row r="1257" spans="1:14">
      <c r="A1257" s="1512"/>
      <c r="B1257" s="1513"/>
      <c r="C1257" s="1515"/>
      <c r="D1257" s="1515"/>
      <c r="E1257" s="1515"/>
      <c r="F1257" s="1589"/>
      <c r="G1257" s="1589"/>
      <c r="H1257" s="1589"/>
      <c r="I1257" s="1858"/>
      <c r="J1257" s="1585"/>
      <c r="K1257" s="1585"/>
      <c r="L1257" s="1585"/>
    </row>
    <row r="1258" spans="1:14">
      <c r="A1258" s="1512"/>
      <c r="B1258" s="1513"/>
      <c r="C1258" s="1515"/>
      <c r="D1258" s="1515"/>
      <c r="E1258" s="1515"/>
      <c r="F1258" s="1589"/>
      <c r="G1258" s="1589"/>
      <c r="H1258" s="1589"/>
      <c r="I1258" s="1858"/>
      <c r="J1258" s="1585"/>
      <c r="K1258" s="1585"/>
      <c r="L1258" s="1585"/>
    </row>
    <row r="1259" spans="1:14">
      <c r="A1259" s="1512"/>
      <c r="B1259" s="1513"/>
      <c r="C1259" s="1515"/>
      <c r="D1259" s="1515"/>
      <c r="E1259" s="1515"/>
      <c r="F1259" s="1589"/>
      <c r="G1259" s="1589"/>
      <c r="H1259" s="1589"/>
      <c r="I1259" s="1858"/>
      <c r="J1259" s="1585"/>
      <c r="K1259" s="1585"/>
      <c r="L1259" s="1585"/>
    </row>
    <row r="1260" spans="1:14">
      <c r="A1260" s="2196" t="s">
        <v>4555</v>
      </c>
      <c r="B1260" s="2196"/>
      <c r="C1260" s="2196"/>
      <c r="D1260" s="2196"/>
      <c r="E1260" s="2196"/>
      <c r="F1260" s="2196"/>
      <c r="G1260" s="2196"/>
      <c r="H1260" s="2196"/>
      <c r="I1260" s="2196"/>
      <c r="J1260" s="2196"/>
      <c r="K1260" s="2196"/>
      <c r="L1260" s="1475"/>
    </row>
    <row r="1262" spans="1:14" ht="27">
      <c r="A1262" s="2197" t="s">
        <v>2901</v>
      </c>
      <c r="B1262" s="2199" t="s">
        <v>2902</v>
      </c>
      <c r="C1262" s="2199" t="s">
        <v>2607</v>
      </c>
      <c r="D1262" s="2203" t="s">
        <v>2608</v>
      </c>
      <c r="E1262" s="2199" t="s">
        <v>2609</v>
      </c>
      <c r="F1262" s="2205" t="s">
        <v>2903</v>
      </c>
      <c r="G1262" s="2206"/>
      <c r="H1262" s="2207"/>
      <c r="I1262" s="2205" t="s">
        <v>2904</v>
      </c>
      <c r="J1262" s="2206"/>
      <c r="K1262" s="2207"/>
      <c r="L1262" s="1476" t="s">
        <v>2905</v>
      </c>
      <c r="M1262" s="2197" t="s">
        <v>2906</v>
      </c>
      <c r="N1262" s="2208" t="s">
        <v>2907</v>
      </c>
    </row>
    <row r="1263" spans="1:14">
      <c r="A1263" s="2198"/>
      <c r="B1263" s="2200"/>
      <c r="C1263" s="2200"/>
      <c r="D1263" s="2211"/>
      <c r="E1263" s="2200"/>
      <c r="F1263" s="1477" t="s">
        <v>2908</v>
      </c>
      <c r="G1263" s="1476" t="s">
        <v>2611</v>
      </c>
      <c r="H1263" s="1478" t="s">
        <v>2612</v>
      </c>
      <c r="I1263" s="1477" t="s">
        <v>2908</v>
      </c>
      <c r="J1263" s="1476" t="s">
        <v>2611</v>
      </c>
      <c r="K1263" s="1478" t="s">
        <v>2612</v>
      </c>
      <c r="L1263" s="1865"/>
      <c r="M1263" s="2198"/>
      <c r="N1263" s="2209"/>
    </row>
    <row r="1264" spans="1:14">
      <c r="A1264" s="2013">
        <v>1072</v>
      </c>
      <c r="B1264" s="1982">
        <v>1</v>
      </c>
      <c r="C1264" s="2014" t="s">
        <v>4556</v>
      </c>
      <c r="D1264" s="1483" t="s">
        <v>4557</v>
      </c>
      <c r="E1264" s="2015" t="s">
        <v>435</v>
      </c>
      <c r="F1264" s="1652">
        <v>15</v>
      </c>
      <c r="G1264" s="1652">
        <v>24999700.000000004</v>
      </c>
      <c r="H1264" s="1652">
        <f>G1264*F1264</f>
        <v>374995500.00000006</v>
      </c>
      <c r="I1264" s="1652">
        <v>15</v>
      </c>
      <c r="J1264" s="1652">
        <v>25000000</v>
      </c>
      <c r="K1264" s="1652">
        <f>I1264*J1264</f>
        <v>375000000</v>
      </c>
      <c r="L1264" s="1652">
        <f t="shared" ref="L1264:L1297" si="81">J1264-G1264</f>
        <v>299.99999999627471</v>
      </c>
      <c r="M1264" s="1652" t="s">
        <v>4558</v>
      </c>
      <c r="N1264" s="1596" t="s">
        <v>4559</v>
      </c>
    </row>
    <row r="1265" spans="1:14">
      <c r="A1265" s="2016">
        <v>1073</v>
      </c>
      <c r="B1265" s="2017">
        <v>2</v>
      </c>
      <c r="C1265" s="2018" t="s">
        <v>4560</v>
      </c>
      <c r="D1265" s="1491" t="s">
        <v>4557</v>
      </c>
      <c r="E1265" s="2019" t="s">
        <v>435</v>
      </c>
      <c r="F1265" s="1560">
        <v>5</v>
      </c>
      <c r="G1265" s="1560">
        <v>24999700.000000004</v>
      </c>
      <c r="H1265" s="1560">
        <f t="shared" ref="H1265:H1297" si="82">G1265*F1265</f>
        <v>124998500.00000001</v>
      </c>
      <c r="I1265" s="1560">
        <v>5</v>
      </c>
      <c r="J1265" s="1560">
        <v>25000000</v>
      </c>
      <c r="K1265" s="1560">
        <f t="shared" ref="K1265:K1297" si="83">I1265*J1265</f>
        <v>125000000</v>
      </c>
      <c r="L1265" s="1560">
        <f t="shared" si="81"/>
        <v>299.99999999627471</v>
      </c>
      <c r="M1265" s="1560" t="s">
        <v>4558</v>
      </c>
      <c r="N1265" s="1562" t="s">
        <v>4559</v>
      </c>
    </row>
    <row r="1266" spans="1:14">
      <c r="A1266" s="1981">
        <v>1074</v>
      </c>
      <c r="B1266" s="1988">
        <v>3</v>
      </c>
      <c r="C1266" s="2018" t="s">
        <v>4561</v>
      </c>
      <c r="D1266" s="1491" t="s">
        <v>4557</v>
      </c>
      <c r="E1266" s="2019" t="s">
        <v>435</v>
      </c>
      <c r="F1266" s="1560">
        <v>5</v>
      </c>
      <c r="G1266" s="1560">
        <v>27999400.000000004</v>
      </c>
      <c r="H1266" s="1560">
        <f t="shared" si="82"/>
        <v>139997000.00000003</v>
      </c>
      <c r="I1266" s="1560">
        <v>5</v>
      </c>
      <c r="J1266" s="1560">
        <v>28000000</v>
      </c>
      <c r="K1266" s="1560">
        <f t="shared" si="83"/>
        <v>140000000</v>
      </c>
      <c r="L1266" s="1560">
        <f t="shared" si="81"/>
        <v>599.99999999627471</v>
      </c>
      <c r="M1266" s="1560" t="s">
        <v>4558</v>
      </c>
      <c r="N1266" s="1562" t="s">
        <v>4559</v>
      </c>
    </row>
    <row r="1267" spans="1:14">
      <c r="A1267" s="1981">
        <v>1075</v>
      </c>
      <c r="B1267" s="1988">
        <v>4</v>
      </c>
      <c r="C1267" s="2018" t="s">
        <v>4562</v>
      </c>
      <c r="D1267" s="1491" t="s">
        <v>4557</v>
      </c>
      <c r="E1267" s="2019" t="s">
        <v>435</v>
      </c>
      <c r="F1267" s="1560">
        <v>5</v>
      </c>
      <c r="G1267" s="1560">
        <v>24999700.000000004</v>
      </c>
      <c r="H1267" s="1560">
        <f t="shared" si="82"/>
        <v>124998500.00000001</v>
      </c>
      <c r="I1267" s="1560">
        <v>5</v>
      </c>
      <c r="J1267" s="1560">
        <v>25000000</v>
      </c>
      <c r="K1267" s="1560">
        <f t="shared" si="83"/>
        <v>125000000</v>
      </c>
      <c r="L1267" s="1560">
        <f t="shared" si="81"/>
        <v>299.99999999627471</v>
      </c>
      <c r="M1267" s="1560" t="s">
        <v>4558</v>
      </c>
      <c r="N1267" s="1562" t="s">
        <v>4559</v>
      </c>
    </row>
    <row r="1268" spans="1:14">
      <c r="A1268" s="1981">
        <v>1076</v>
      </c>
      <c r="B1268" s="1988">
        <v>5</v>
      </c>
      <c r="C1268" s="2018" t="s">
        <v>4563</v>
      </c>
      <c r="D1268" s="1491" t="s">
        <v>4557</v>
      </c>
      <c r="E1268" s="2019" t="s">
        <v>435</v>
      </c>
      <c r="F1268" s="1560">
        <v>5</v>
      </c>
      <c r="G1268" s="1560">
        <v>24999700.000000004</v>
      </c>
      <c r="H1268" s="1560">
        <f t="shared" si="82"/>
        <v>124998500.00000001</v>
      </c>
      <c r="I1268" s="1560">
        <v>5</v>
      </c>
      <c r="J1268" s="1560">
        <v>25000000</v>
      </c>
      <c r="K1268" s="1560">
        <f t="shared" si="83"/>
        <v>125000000</v>
      </c>
      <c r="L1268" s="1560">
        <f t="shared" si="81"/>
        <v>299.99999999627471</v>
      </c>
      <c r="M1268" s="1560" t="s">
        <v>4558</v>
      </c>
      <c r="N1268" s="1562" t="s">
        <v>4559</v>
      </c>
    </row>
    <row r="1269" spans="1:14">
      <c r="A1269" s="1981">
        <v>1077</v>
      </c>
      <c r="B1269" s="1988">
        <v>6</v>
      </c>
      <c r="C1269" s="2018" t="s">
        <v>4564</v>
      </c>
      <c r="D1269" s="1491" t="s">
        <v>4557</v>
      </c>
      <c r="E1269" s="2019" t="s">
        <v>435</v>
      </c>
      <c r="F1269" s="1560">
        <v>5</v>
      </c>
      <c r="G1269" s="1560">
        <v>24999700.000000004</v>
      </c>
      <c r="H1269" s="1560">
        <f t="shared" si="82"/>
        <v>124998500.00000001</v>
      </c>
      <c r="I1269" s="1560">
        <v>5</v>
      </c>
      <c r="J1269" s="1560">
        <v>25000000</v>
      </c>
      <c r="K1269" s="1560">
        <f t="shared" si="83"/>
        <v>125000000</v>
      </c>
      <c r="L1269" s="1560">
        <f t="shared" si="81"/>
        <v>299.99999999627471</v>
      </c>
      <c r="M1269" s="1560" t="s">
        <v>4558</v>
      </c>
      <c r="N1269" s="1562" t="s">
        <v>4559</v>
      </c>
    </row>
    <row r="1270" spans="1:14">
      <c r="A1270" s="1981">
        <v>1078</v>
      </c>
      <c r="B1270" s="1988">
        <v>7</v>
      </c>
      <c r="C1270" s="2018" t="s">
        <v>4565</v>
      </c>
      <c r="D1270" s="1491" t="s">
        <v>3627</v>
      </c>
      <c r="E1270" s="2019" t="s">
        <v>435</v>
      </c>
      <c r="F1270" s="1560">
        <v>5</v>
      </c>
      <c r="G1270" s="1560">
        <v>38498900</v>
      </c>
      <c r="H1270" s="1560">
        <f t="shared" si="82"/>
        <v>192494500</v>
      </c>
      <c r="I1270" s="1560">
        <v>5</v>
      </c>
      <c r="J1270" s="1560">
        <v>38500000</v>
      </c>
      <c r="K1270" s="1560">
        <f t="shared" si="83"/>
        <v>192500000</v>
      </c>
      <c r="L1270" s="1560">
        <f t="shared" si="81"/>
        <v>1100</v>
      </c>
      <c r="M1270" s="1560" t="s">
        <v>4558</v>
      </c>
      <c r="N1270" s="1562" t="s">
        <v>4559</v>
      </c>
    </row>
    <row r="1271" spans="1:14">
      <c r="A1271" s="1981">
        <v>1079</v>
      </c>
      <c r="B1271" s="1988">
        <v>8</v>
      </c>
      <c r="C1271" s="2018" t="s">
        <v>4566</v>
      </c>
      <c r="D1271" s="1491" t="s">
        <v>4557</v>
      </c>
      <c r="E1271" s="2019" t="s">
        <v>435</v>
      </c>
      <c r="F1271" s="1560">
        <v>4</v>
      </c>
      <c r="G1271" s="1560">
        <v>24999700.000000004</v>
      </c>
      <c r="H1271" s="1560">
        <f t="shared" si="82"/>
        <v>99998800.000000015</v>
      </c>
      <c r="I1271" s="1560">
        <v>4</v>
      </c>
      <c r="J1271" s="1560">
        <v>25000000</v>
      </c>
      <c r="K1271" s="1560">
        <f t="shared" si="83"/>
        <v>100000000</v>
      </c>
      <c r="L1271" s="1560">
        <f t="shared" si="81"/>
        <v>299.99999999627471</v>
      </c>
      <c r="M1271" s="1560" t="s">
        <v>4558</v>
      </c>
      <c r="N1271" s="1562" t="s">
        <v>4559</v>
      </c>
    </row>
    <row r="1272" spans="1:14">
      <c r="A1272" s="1981">
        <v>1080</v>
      </c>
      <c r="B1272" s="1988">
        <v>9</v>
      </c>
      <c r="C1272" s="2018" t="s">
        <v>4567</v>
      </c>
      <c r="D1272" s="1491" t="s">
        <v>4557</v>
      </c>
      <c r="E1272" s="2019" t="s">
        <v>435</v>
      </c>
      <c r="F1272" s="1560">
        <v>7</v>
      </c>
      <c r="G1272" s="1560">
        <v>27999400.000000004</v>
      </c>
      <c r="H1272" s="1560">
        <f t="shared" si="82"/>
        <v>195995800.00000003</v>
      </c>
      <c r="I1272" s="1560">
        <v>7</v>
      </c>
      <c r="J1272" s="1560">
        <v>28000000</v>
      </c>
      <c r="K1272" s="1560">
        <f t="shared" si="83"/>
        <v>196000000</v>
      </c>
      <c r="L1272" s="1560">
        <f t="shared" si="81"/>
        <v>599.99999999627471</v>
      </c>
      <c r="M1272" s="1560" t="s">
        <v>4558</v>
      </c>
      <c r="N1272" s="1562" t="s">
        <v>4559</v>
      </c>
    </row>
    <row r="1273" spans="1:14">
      <c r="A1273" s="1981">
        <v>1081</v>
      </c>
      <c r="B1273" s="1988">
        <v>10</v>
      </c>
      <c r="C1273" s="1487" t="s">
        <v>4568</v>
      </c>
      <c r="D1273" s="1491" t="s">
        <v>4569</v>
      </c>
      <c r="E1273" s="2019" t="s">
        <v>192</v>
      </c>
      <c r="F1273" s="1560">
        <v>2</v>
      </c>
      <c r="G1273" s="1560">
        <v>6099500.0000000009</v>
      </c>
      <c r="H1273" s="1560">
        <f t="shared" si="82"/>
        <v>12199000.000000002</v>
      </c>
      <c r="I1273" s="1560">
        <v>2</v>
      </c>
      <c r="J1273" s="1560">
        <v>6100000</v>
      </c>
      <c r="K1273" s="1560">
        <f t="shared" si="83"/>
        <v>12200000</v>
      </c>
      <c r="L1273" s="1560">
        <f t="shared" si="81"/>
        <v>499.99999999906868</v>
      </c>
      <c r="M1273" s="1560" t="s">
        <v>4558</v>
      </c>
      <c r="N1273" s="1562" t="s">
        <v>4559</v>
      </c>
    </row>
    <row r="1274" spans="1:14">
      <c r="A1274" s="1981">
        <v>1082</v>
      </c>
      <c r="B1274" s="1988">
        <v>11</v>
      </c>
      <c r="C1274" s="1487" t="s">
        <v>4570</v>
      </c>
      <c r="D1274" s="1491" t="s">
        <v>4569</v>
      </c>
      <c r="E1274" s="2019" t="s">
        <v>192</v>
      </c>
      <c r="F1274" s="1560">
        <v>2</v>
      </c>
      <c r="G1274" s="1560">
        <v>6344800.0000000009</v>
      </c>
      <c r="H1274" s="1560">
        <f t="shared" si="82"/>
        <v>12689600.000000002</v>
      </c>
      <c r="I1274" s="1560">
        <v>2</v>
      </c>
      <c r="J1274" s="1560">
        <v>6345000</v>
      </c>
      <c r="K1274" s="1560">
        <f t="shared" si="83"/>
        <v>12690000</v>
      </c>
      <c r="L1274" s="1560">
        <f t="shared" si="81"/>
        <v>199.99999999906868</v>
      </c>
      <c r="M1274" s="1560" t="s">
        <v>4558</v>
      </c>
      <c r="N1274" s="1562" t="s">
        <v>4559</v>
      </c>
    </row>
    <row r="1275" spans="1:14">
      <c r="A1275" s="1981">
        <v>1083</v>
      </c>
      <c r="B1275" s="1988">
        <v>12</v>
      </c>
      <c r="C1275" s="2018" t="s">
        <v>4571</v>
      </c>
      <c r="D1275" s="2020" t="s">
        <v>4572</v>
      </c>
      <c r="E1275" s="2019" t="s">
        <v>447</v>
      </c>
      <c r="F1275" s="1560">
        <v>2</v>
      </c>
      <c r="G1275" s="1560">
        <v>6089600.0000000009</v>
      </c>
      <c r="H1275" s="1560">
        <f t="shared" si="82"/>
        <v>12179200.000000002</v>
      </c>
      <c r="I1275" s="1560">
        <v>2</v>
      </c>
      <c r="J1275" s="1560">
        <v>6090000</v>
      </c>
      <c r="K1275" s="1560">
        <f t="shared" si="83"/>
        <v>12180000</v>
      </c>
      <c r="L1275" s="1560">
        <f t="shared" si="81"/>
        <v>399.99999999906868</v>
      </c>
      <c r="M1275" s="1560" t="s">
        <v>4558</v>
      </c>
      <c r="N1275" s="1562" t="s">
        <v>4559</v>
      </c>
    </row>
    <row r="1276" spans="1:14">
      <c r="A1276" s="1981">
        <v>1084</v>
      </c>
      <c r="B1276" s="1988">
        <v>13</v>
      </c>
      <c r="C1276" s="2018" t="s">
        <v>4573</v>
      </c>
      <c r="D1276" s="2020" t="s">
        <v>4574</v>
      </c>
      <c r="E1276" s="2019" t="s">
        <v>447</v>
      </c>
      <c r="F1276" s="1560">
        <v>2</v>
      </c>
      <c r="G1276" s="1560">
        <v>9029900</v>
      </c>
      <c r="H1276" s="1560">
        <f t="shared" si="82"/>
        <v>18059800</v>
      </c>
      <c r="I1276" s="1560">
        <v>2</v>
      </c>
      <c r="J1276" s="1560">
        <v>9030000</v>
      </c>
      <c r="K1276" s="1560">
        <f t="shared" si="83"/>
        <v>18060000</v>
      </c>
      <c r="L1276" s="1560">
        <f t="shared" si="81"/>
        <v>100</v>
      </c>
      <c r="M1276" s="1560" t="s">
        <v>4558</v>
      </c>
      <c r="N1276" s="1562" t="s">
        <v>4559</v>
      </c>
    </row>
    <row r="1277" spans="1:14">
      <c r="A1277" s="1981">
        <v>1085</v>
      </c>
      <c r="B1277" s="1988">
        <v>14</v>
      </c>
      <c r="C1277" s="2018" t="s">
        <v>4575</v>
      </c>
      <c r="D1277" s="1491" t="s">
        <v>4576</v>
      </c>
      <c r="E1277" s="2019" t="s">
        <v>435</v>
      </c>
      <c r="F1277" s="1560">
        <v>5</v>
      </c>
      <c r="G1277" s="1560">
        <v>22999900</v>
      </c>
      <c r="H1277" s="1560">
        <f t="shared" si="82"/>
        <v>114999500</v>
      </c>
      <c r="I1277" s="1560">
        <v>5</v>
      </c>
      <c r="J1277" s="1560">
        <v>23000000</v>
      </c>
      <c r="K1277" s="1560">
        <f t="shared" si="83"/>
        <v>115000000</v>
      </c>
      <c r="L1277" s="1560">
        <f t="shared" si="81"/>
        <v>100</v>
      </c>
      <c r="M1277" s="1560" t="s">
        <v>4577</v>
      </c>
      <c r="N1277" s="1562" t="s">
        <v>4559</v>
      </c>
    </row>
    <row r="1278" spans="1:14">
      <c r="A1278" s="1981">
        <v>1086</v>
      </c>
      <c r="B1278" s="1988">
        <v>15</v>
      </c>
      <c r="C1278" s="2018" t="s">
        <v>4578</v>
      </c>
      <c r="D1278" s="1491" t="s">
        <v>4576</v>
      </c>
      <c r="E1278" s="2019" t="s">
        <v>435</v>
      </c>
      <c r="F1278" s="1560">
        <v>5</v>
      </c>
      <c r="G1278" s="1560">
        <v>9999000</v>
      </c>
      <c r="H1278" s="1560">
        <f t="shared" si="82"/>
        <v>49995000</v>
      </c>
      <c r="I1278" s="1560">
        <v>5</v>
      </c>
      <c r="J1278" s="1560">
        <v>10000000</v>
      </c>
      <c r="K1278" s="1560">
        <f t="shared" si="83"/>
        <v>50000000</v>
      </c>
      <c r="L1278" s="1560">
        <f t="shared" si="81"/>
        <v>1000</v>
      </c>
      <c r="M1278" s="1560" t="s">
        <v>4577</v>
      </c>
      <c r="N1278" s="1562" t="s">
        <v>4559</v>
      </c>
    </row>
    <row r="1279" spans="1:14">
      <c r="A1279" s="1981">
        <v>1087</v>
      </c>
      <c r="B1279" s="1988">
        <v>16</v>
      </c>
      <c r="C1279" s="2018" t="s">
        <v>4579</v>
      </c>
      <c r="D1279" s="1491" t="s">
        <v>4576</v>
      </c>
      <c r="E1279" s="2019" t="s">
        <v>435</v>
      </c>
      <c r="F1279" s="1560">
        <v>30</v>
      </c>
      <c r="G1279" s="1560">
        <v>7999200.0000000009</v>
      </c>
      <c r="H1279" s="1560">
        <f t="shared" si="82"/>
        <v>239976000.00000003</v>
      </c>
      <c r="I1279" s="1560">
        <v>30</v>
      </c>
      <c r="J1279" s="1560">
        <v>8000000</v>
      </c>
      <c r="K1279" s="1560">
        <f t="shared" si="83"/>
        <v>240000000</v>
      </c>
      <c r="L1279" s="1560">
        <f t="shared" si="81"/>
        <v>799.99999999906868</v>
      </c>
      <c r="M1279" s="1560" t="s">
        <v>4577</v>
      </c>
      <c r="N1279" s="1562" t="s">
        <v>4559</v>
      </c>
    </row>
    <row r="1280" spans="1:14">
      <c r="A1280" s="1981">
        <v>1088</v>
      </c>
      <c r="B1280" s="1988">
        <v>17</v>
      </c>
      <c r="C1280" s="2018" t="s">
        <v>4580</v>
      </c>
      <c r="D1280" s="1491" t="s">
        <v>4576</v>
      </c>
      <c r="E1280" s="2019" t="s">
        <v>435</v>
      </c>
      <c r="F1280" s="1560">
        <v>15</v>
      </c>
      <c r="G1280" s="1560">
        <v>11499400</v>
      </c>
      <c r="H1280" s="1560">
        <f t="shared" si="82"/>
        <v>172491000</v>
      </c>
      <c r="I1280" s="1560">
        <v>15</v>
      </c>
      <c r="J1280" s="1560">
        <v>11500000</v>
      </c>
      <c r="K1280" s="1560">
        <f t="shared" si="83"/>
        <v>172500000</v>
      </c>
      <c r="L1280" s="1560">
        <f t="shared" si="81"/>
        <v>600</v>
      </c>
      <c r="M1280" s="1560" t="s">
        <v>4577</v>
      </c>
      <c r="N1280" s="1562" t="s">
        <v>4559</v>
      </c>
    </row>
    <row r="1281" spans="1:14">
      <c r="A1281" s="1981">
        <v>1089</v>
      </c>
      <c r="B1281" s="1988">
        <v>18</v>
      </c>
      <c r="C1281" s="2018" t="s">
        <v>4581</v>
      </c>
      <c r="D1281" s="1491" t="s">
        <v>4557</v>
      </c>
      <c r="E1281" s="2019" t="s">
        <v>435</v>
      </c>
      <c r="F1281" s="1560">
        <v>4</v>
      </c>
      <c r="G1281" s="1560">
        <v>13999700.000000002</v>
      </c>
      <c r="H1281" s="1560">
        <f t="shared" si="82"/>
        <v>55998800.000000007</v>
      </c>
      <c r="I1281" s="1560">
        <v>4</v>
      </c>
      <c r="J1281" s="1560">
        <v>14000000</v>
      </c>
      <c r="K1281" s="1560">
        <f t="shared" si="83"/>
        <v>56000000</v>
      </c>
      <c r="L1281" s="1560">
        <f t="shared" si="81"/>
        <v>299.99999999813735</v>
      </c>
      <c r="M1281" s="1560" t="s">
        <v>4582</v>
      </c>
      <c r="N1281" s="1562" t="s">
        <v>4559</v>
      </c>
    </row>
    <row r="1282" spans="1:14">
      <c r="A1282" s="1981">
        <v>1090</v>
      </c>
      <c r="B1282" s="1988">
        <v>19</v>
      </c>
      <c r="C1282" s="2018" t="s">
        <v>4583</v>
      </c>
      <c r="D1282" s="1491" t="s">
        <v>4557</v>
      </c>
      <c r="E1282" s="2019" t="s">
        <v>435</v>
      </c>
      <c r="F1282" s="1560">
        <v>4</v>
      </c>
      <c r="G1282" s="1560">
        <v>13999700.000000002</v>
      </c>
      <c r="H1282" s="1560">
        <f t="shared" si="82"/>
        <v>55998800.000000007</v>
      </c>
      <c r="I1282" s="1560">
        <v>4</v>
      </c>
      <c r="J1282" s="1560">
        <v>14000000</v>
      </c>
      <c r="K1282" s="1560">
        <f t="shared" si="83"/>
        <v>56000000</v>
      </c>
      <c r="L1282" s="1560">
        <f t="shared" si="81"/>
        <v>299.99999999813735</v>
      </c>
      <c r="M1282" s="1560" t="s">
        <v>4582</v>
      </c>
      <c r="N1282" s="1562" t="s">
        <v>4559</v>
      </c>
    </row>
    <row r="1283" spans="1:14">
      <c r="A1283" s="1981">
        <v>1091</v>
      </c>
      <c r="B1283" s="1988">
        <v>20</v>
      </c>
      <c r="C1283" s="2018" t="s">
        <v>4584</v>
      </c>
      <c r="D1283" s="1491" t="s">
        <v>3613</v>
      </c>
      <c r="E1283" s="2019" t="s">
        <v>435</v>
      </c>
      <c r="F1283" s="1560">
        <v>40</v>
      </c>
      <c r="G1283" s="1560">
        <v>999900.00000000012</v>
      </c>
      <c r="H1283" s="1560">
        <f t="shared" si="82"/>
        <v>39996000.000000007</v>
      </c>
      <c r="I1283" s="1560">
        <v>40</v>
      </c>
      <c r="J1283" s="1560">
        <v>1000000</v>
      </c>
      <c r="K1283" s="1560">
        <f t="shared" si="83"/>
        <v>40000000</v>
      </c>
      <c r="L1283" s="1560">
        <f t="shared" si="81"/>
        <v>99.999999999883585</v>
      </c>
      <c r="M1283" s="1560" t="s">
        <v>4585</v>
      </c>
      <c r="N1283" s="1562" t="s">
        <v>4559</v>
      </c>
    </row>
    <row r="1284" spans="1:14">
      <c r="A1284" s="1981">
        <v>1092</v>
      </c>
      <c r="B1284" s="1988">
        <v>21</v>
      </c>
      <c r="C1284" s="1487" t="s">
        <v>4586</v>
      </c>
      <c r="D1284" s="2020" t="s">
        <v>4587</v>
      </c>
      <c r="E1284" s="2019" t="s">
        <v>435</v>
      </c>
      <c r="F1284" s="1560">
        <v>20</v>
      </c>
      <c r="G1284" s="1560">
        <v>1249600</v>
      </c>
      <c r="H1284" s="1560">
        <f t="shared" si="82"/>
        <v>24992000</v>
      </c>
      <c r="I1284" s="1560">
        <v>20</v>
      </c>
      <c r="J1284" s="1560">
        <v>1250000</v>
      </c>
      <c r="K1284" s="1560">
        <f t="shared" si="83"/>
        <v>25000000</v>
      </c>
      <c r="L1284" s="1560">
        <f t="shared" si="81"/>
        <v>400</v>
      </c>
      <c r="M1284" s="1560" t="s">
        <v>4588</v>
      </c>
      <c r="N1284" s="1562" t="s">
        <v>4559</v>
      </c>
    </row>
    <row r="1285" spans="1:14">
      <c r="A1285" s="1981">
        <v>1093</v>
      </c>
      <c r="B1285" s="1988">
        <v>22</v>
      </c>
      <c r="C1285" s="1487" t="s">
        <v>4589</v>
      </c>
      <c r="D1285" s="2020" t="s">
        <v>4587</v>
      </c>
      <c r="E1285" s="2019" t="s">
        <v>435</v>
      </c>
      <c r="F1285" s="1560">
        <v>20</v>
      </c>
      <c r="G1285" s="1560">
        <v>1249600</v>
      </c>
      <c r="H1285" s="1560">
        <f t="shared" si="82"/>
        <v>24992000</v>
      </c>
      <c r="I1285" s="1560">
        <v>20</v>
      </c>
      <c r="J1285" s="1560">
        <v>1250000</v>
      </c>
      <c r="K1285" s="1560">
        <f t="shared" si="83"/>
        <v>25000000</v>
      </c>
      <c r="L1285" s="1560">
        <f t="shared" si="81"/>
        <v>400</v>
      </c>
      <c r="M1285" s="1560" t="s">
        <v>4590</v>
      </c>
      <c r="N1285" s="1562" t="s">
        <v>4559</v>
      </c>
    </row>
    <row r="1286" spans="1:14">
      <c r="A1286" s="1981">
        <v>1094</v>
      </c>
      <c r="B1286" s="1988">
        <v>23</v>
      </c>
      <c r="C1286" s="1487" t="s">
        <v>4591</v>
      </c>
      <c r="D1286" s="2020" t="s">
        <v>4587</v>
      </c>
      <c r="E1286" s="2019" t="s">
        <v>435</v>
      </c>
      <c r="F1286" s="1560">
        <v>20</v>
      </c>
      <c r="G1286" s="1560">
        <v>1299100</v>
      </c>
      <c r="H1286" s="1560">
        <f t="shared" si="82"/>
        <v>25982000</v>
      </c>
      <c r="I1286" s="1560">
        <v>20</v>
      </c>
      <c r="J1286" s="1560">
        <v>1300000</v>
      </c>
      <c r="K1286" s="1560">
        <f t="shared" si="83"/>
        <v>26000000</v>
      </c>
      <c r="L1286" s="1560">
        <f t="shared" si="81"/>
        <v>900</v>
      </c>
      <c r="M1286" s="1560" t="s">
        <v>4590</v>
      </c>
      <c r="N1286" s="1562" t="s">
        <v>4559</v>
      </c>
    </row>
    <row r="1287" spans="1:14">
      <c r="A1287" s="1981">
        <v>1095</v>
      </c>
      <c r="B1287" s="1988">
        <v>24</v>
      </c>
      <c r="C1287" s="1487" t="s">
        <v>4592</v>
      </c>
      <c r="D1287" s="2020" t="s">
        <v>4587</v>
      </c>
      <c r="E1287" s="2019" t="s">
        <v>435</v>
      </c>
      <c r="F1287" s="1560">
        <v>15</v>
      </c>
      <c r="G1287" s="1560">
        <v>1299100</v>
      </c>
      <c r="H1287" s="1560">
        <f t="shared" si="82"/>
        <v>19486500</v>
      </c>
      <c r="I1287" s="1560">
        <v>15</v>
      </c>
      <c r="J1287" s="1560">
        <v>2000000</v>
      </c>
      <c r="K1287" s="1560">
        <f t="shared" si="83"/>
        <v>30000000</v>
      </c>
      <c r="L1287" s="1560">
        <f t="shared" si="81"/>
        <v>700900</v>
      </c>
      <c r="M1287" s="1560" t="s">
        <v>4588</v>
      </c>
      <c r="N1287" s="1562" t="s">
        <v>4559</v>
      </c>
    </row>
    <row r="1288" spans="1:14">
      <c r="A1288" s="1981">
        <v>1096</v>
      </c>
      <c r="B1288" s="1988">
        <v>25</v>
      </c>
      <c r="C1288" s="1487" t="s">
        <v>4593</v>
      </c>
      <c r="D1288" s="2020" t="s">
        <v>4587</v>
      </c>
      <c r="E1288" s="1703" t="s">
        <v>435</v>
      </c>
      <c r="F1288" s="1560">
        <v>15</v>
      </c>
      <c r="G1288" s="1560">
        <v>1299100</v>
      </c>
      <c r="H1288" s="1560">
        <f t="shared" si="82"/>
        <v>19486500</v>
      </c>
      <c r="I1288" s="1560">
        <v>15</v>
      </c>
      <c r="J1288" s="1560">
        <v>2000000</v>
      </c>
      <c r="K1288" s="1560">
        <f t="shared" si="83"/>
        <v>30000000</v>
      </c>
      <c r="L1288" s="1560">
        <f t="shared" si="81"/>
        <v>700900</v>
      </c>
      <c r="M1288" s="1560" t="s">
        <v>4590</v>
      </c>
      <c r="N1288" s="1562" t="s">
        <v>4559</v>
      </c>
    </row>
    <row r="1289" spans="1:14">
      <c r="A1289" s="1981">
        <v>1097</v>
      </c>
      <c r="B1289" s="1988">
        <v>26</v>
      </c>
      <c r="C1289" s="1487" t="s">
        <v>4594</v>
      </c>
      <c r="D1289" s="2020" t="s">
        <v>4587</v>
      </c>
      <c r="E1289" s="1703" t="s">
        <v>435</v>
      </c>
      <c r="F1289" s="1560">
        <v>15</v>
      </c>
      <c r="G1289" s="1560">
        <v>2049300.0000000002</v>
      </c>
      <c r="H1289" s="1560">
        <f t="shared" si="82"/>
        <v>30739500.000000004</v>
      </c>
      <c r="I1289" s="1560">
        <v>15</v>
      </c>
      <c r="J1289" s="1560">
        <v>2050000</v>
      </c>
      <c r="K1289" s="1560">
        <f t="shared" si="83"/>
        <v>30750000</v>
      </c>
      <c r="L1289" s="1560">
        <f t="shared" si="81"/>
        <v>699.99999999976717</v>
      </c>
      <c r="M1289" s="1560" t="s">
        <v>4590</v>
      </c>
      <c r="N1289" s="1562" t="s">
        <v>4559</v>
      </c>
    </row>
    <row r="1290" spans="1:14" ht="18">
      <c r="A1290" s="1981">
        <v>1098</v>
      </c>
      <c r="B1290" s="1988">
        <v>27</v>
      </c>
      <c r="C1290" s="2021" t="s">
        <v>4595</v>
      </c>
      <c r="D1290" s="1491" t="s">
        <v>4596</v>
      </c>
      <c r="E1290" s="1703" t="s">
        <v>209</v>
      </c>
      <c r="F1290" s="1560">
        <v>375</v>
      </c>
      <c r="G1290" s="1560">
        <v>9900</v>
      </c>
      <c r="H1290" s="1560">
        <f t="shared" si="82"/>
        <v>3712500</v>
      </c>
      <c r="I1290" s="1560">
        <v>375</v>
      </c>
      <c r="J1290" s="1560">
        <v>10000</v>
      </c>
      <c r="K1290" s="1560">
        <f t="shared" si="83"/>
        <v>3750000</v>
      </c>
      <c r="L1290" s="1560">
        <f t="shared" si="81"/>
        <v>100</v>
      </c>
      <c r="M1290" s="1560" t="s">
        <v>4228</v>
      </c>
      <c r="N1290" s="1562" t="s">
        <v>4559</v>
      </c>
    </row>
    <row r="1291" spans="1:14" ht="18">
      <c r="A1291" s="1981">
        <v>1099</v>
      </c>
      <c r="B1291" s="1988">
        <v>28</v>
      </c>
      <c r="C1291" s="2022" t="s">
        <v>4597</v>
      </c>
      <c r="D1291" s="1491" t="s">
        <v>4598</v>
      </c>
      <c r="E1291" s="1703" t="s">
        <v>209</v>
      </c>
      <c r="F1291" s="1560">
        <v>12500</v>
      </c>
      <c r="G1291" s="1560">
        <v>792</v>
      </c>
      <c r="H1291" s="1560">
        <f t="shared" si="82"/>
        <v>9900000</v>
      </c>
      <c r="I1291" s="1560">
        <v>12500</v>
      </c>
      <c r="J1291" s="1560">
        <v>800</v>
      </c>
      <c r="K1291" s="1560">
        <f t="shared" si="83"/>
        <v>10000000</v>
      </c>
      <c r="L1291" s="1560">
        <f t="shared" si="81"/>
        <v>8</v>
      </c>
      <c r="M1291" s="1560" t="s">
        <v>4590</v>
      </c>
      <c r="N1291" s="1562" t="s">
        <v>4559</v>
      </c>
    </row>
    <row r="1292" spans="1:14" ht="18">
      <c r="A1292" s="1981">
        <v>1100</v>
      </c>
      <c r="B1292" s="1988">
        <v>29</v>
      </c>
      <c r="C1292" s="2022" t="s">
        <v>4599</v>
      </c>
      <c r="D1292" s="1491" t="s">
        <v>4598</v>
      </c>
      <c r="E1292" s="1703" t="s">
        <v>209</v>
      </c>
      <c r="F1292" s="1560">
        <v>7500</v>
      </c>
      <c r="G1292" s="1560">
        <v>891</v>
      </c>
      <c r="H1292" s="1560">
        <f t="shared" si="82"/>
        <v>6682500</v>
      </c>
      <c r="I1292" s="1560">
        <v>7500</v>
      </c>
      <c r="J1292" s="1560">
        <v>900</v>
      </c>
      <c r="K1292" s="1560">
        <f t="shared" si="83"/>
        <v>6750000</v>
      </c>
      <c r="L1292" s="1560">
        <f t="shared" si="81"/>
        <v>9</v>
      </c>
      <c r="M1292" s="1560" t="s">
        <v>4590</v>
      </c>
      <c r="N1292" s="1562" t="s">
        <v>4559</v>
      </c>
    </row>
    <row r="1293" spans="1:14">
      <c r="A1293" s="1981">
        <v>1101</v>
      </c>
      <c r="B1293" s="1988">
        <v>30</v>
      </c>
      <c r="C1293" s="1487" t="s">
        <v>4600</v>
      </c>
      <c r="D1293" s="1491" t="s">
        <v>260</v>
      </c>
      <c r="E1293" s="1703" t="s">
        <v>260</v>
      </c>
      <c r="F1293" s="1560">
        <v>5</v>
      </c>
      <c r="G1293" s="1560">
        <v>849200.00000000012</v>
      </c>
      <c r="H1293" s="1560">
        <f t="shared" si="82"/>
        <v>4246000.0000000009</v>
      </c>
      <c r="I1293" s="1560">
        <v>5</v>
      </c>
      <c r="J1293" s="1560">
        <v>850000</v>
      </c>
      <c r="K1293" s="1560">
        <f t="shared" si="83"/>
        <v>4250000</v>
      </c>
      <c r="L1293" s="1560">
        <f t="shared" si="81"/>
        <v>799.99999999988358</v>
      </c>
      <c r="M1293" s="1560" t="s">
        <v>4601</v>
      </c>
      <c r="N1293" s="1562" t="s">
        <v>4559</v>
      </c>
    </row>
    <row r="1294" spans="1:14">
      <c r="A1294" s="1981">
        <v>1102</v>
      </c>
      <c r="B1294" s="1988">
        <v>31</v>
      </c>
      <c r="C1294" s="1487" t="s">
        <v>4602</v>
      </c>
      <c r="D1294" s="1491" t="s">
        <v>4603</v>
      </c>
      <c r="E1294" s="1703" t="s">
        <v>3498</v>
      </c>
      <c r="F1294" s="1560">
        <v>10</v>
      </c>
      <c r="G1294" s="1560">
        <v>1999800.0000000002</v>
      </c>
      <c r="H1294" s="1560">
        <f t="shared" si="82"/>
        <v>19998000.000000004</v>
      </c>
      <c r="I1294" s="1560">
        <v>10</v>
      </c>
      <c r="J1294" s="1560">
        <v>2000000</v>
      </c>
      <c r="K1294" s="1560">
        <f t="shared" si="83"/>
        <v>20000000</v>
      </c>
      <c r="L1294" s="1560">
        <f t="shared" si="81"/>
        <v>199.99999999976717</v>
      </c>
      <c r="M1294" s="1560" t="s">
        <v>4604</v>
      </c>
      <c r="N1294" s="1562" t="s">
        <v>4559</v>
      </c>
    </row>
    <row r="1295" spans="1:14">
      <c r="A1295" s="1981">
        <v>1103</v>
      </c>
      <c r="B1295" s="1988">
        <v>32</v>
      </c>
      <c r="C1295" s="1487" t="s">
        <v>4605</v>
      </c>
      <c r="D1295" s="1491" t="s">
        <v>4606</v>
      </c>
      <c r="E1295" s="1703" t="s">
        <v>700</v>
      </c>
      <c r="F1295" s="1560">
        <v>2500</v>
      </c>
      <c r="G1295" s="1560">
        <v>1760.0000000000002</v>
      </c>
      <c r="H1295" s="1560">
        <f t="shared" si="82"/>
        <v>4400000.0000000009</v>
      </c>
      <c r="I1295" s="1560">
        <v>2500</v>
      </c>
      <c r="J1295" s="1560">
        <v>1800</v>
      </c>
      <c r="K1295" s="1560">
        <f t="shared" si="83"/>
        <v>4500000</v>
      </c>
      <c r="L1295" s="1560">
        <f t="shared" si="81"/>
        <v>39.999999999999773</v>
      </c>
      <c r="M1295" s="1560" t="s">
        <v>4607</v>
      </c>
      <c r="N1295" s="1562" t="s">
        <v>4559</v>
      </c>
    </row>
    <row r="1296" spans="1:14">
      <c r="A1296" s="1981">
        <v>1104</v>
      </c>
      <c r="B1296" s="1988">
        <v>33</v>
      </c>
      <c r="C1296" s="1728" t="s">
        <v>4608</v>
      </c>
      <c r="D1296" s="1500" t="s">
        <v>2938</v>
      </c>
      <c r="E1296" s="2023" t="s">
        <v>209</v>
      </c>
      <c r="F1296" s="1560">
        <v>7000</v>
      </c>
      <c r="G1296" s="1560">
        <v>5940.0000000000009</v>
      </c>
      <c r="H1296" s="1560">
        <f t="shared" si="82"/>
        <v>41580000.000000007</v>
      </c>
      <c r="I1296" s="1560">
        <v>7000</v>
      </c>
      <c r="J1296" s="1560">
        <v>6000</v>
      </c>
      <c r="K1296" s="1560">
        <f t="shared" si="83"/>
        <v>42000000</v>
      </c>
      <c r="L1296" s="1560">
        <f t="shared" si="81"/>
        <v>59.999999999999091</v>
      </c>
      <c r="M1296" s="1560" t="s">
        <v>4609</v>
      </c>
      <c r="N1296" s="1562" t="s">
        <v>4559</v>
      </c>
    </row>
    <row r="1297" spans="1:14">
      <c r="A1297" s="1981">
        <v>1105</v>
      </c>
      <c r="B1297" s="1988">
        <v>34</v>
      </c>
      <c r="C1297" s="1728" t="s">
        <v>4610</v>
      </c>
      <c r="D1297" s="1699" t="s">
        <v>435</v>
      </c>
      <c r="E1297" s="2023" t="s">
        <v>4611</v>
      </c>
      <c r="F1297" s="1630">
        <v>15</v>
      </c>
      <c r="G1297" s="1630">
        <v>199980.00000000003</v>
      </c>
      <c r="H1297" s="1630">
        <f t="shared" si="82"/>
        <v>2999700.0000000005</v>
      </c>
      <c r="I1297" s="1630">
        <v>15</v>
      </c>
      <c r="J1297" s="1630">
        <v>200000</v>
      </c>
      <c r="K1297" s="1630">
        <f t="shared" si="83"/>
        <v>3000000</v>
      </c>
      <c r="L1297" s="1630">
        <f t="shared" si="81"/>
        <v>19.999999999970896</v>
      </c>
      <c r="M1297" s="1630" t="s">
        <v>4612</v>
      </c>
      <c r="N1297" s="1631" t="s">
        <v>4559</v>
      </c>
    </row>
    <row r="1298" spans="1:14">
      <c r="A1298" s="2024"/>
      <c r="B1298" s="2025"/>
      <c r="C1298" s="2026" t="s">
        <v>4613</v>
      </c>
      <c r="D1298" s="2027"/>
      <c r="E1298" s="2027"/>
      <c r="F1298" s="2028"/>
      <c r="G1298" s="2028"/>
      <c r="H1298" s="1856">
        <f>SUM(H1264:H1297)</f>
        <v>2527255500</v>
      </c>
      <c r="I1298" s="1667"/>
      <c r="J1298" s="1738"/>
      <c r="K1298" s="1856">
        <f>SUM(K1264:K1297)</f>
        <v>2549130000</v>
      </c>
      <c r="L1298" s="1856"/>
      <c r="M1298" s="1510"/>
      <c r="N1298" s="1511"/>
    </row>
    <row r="1299" spans="1:14">
      <c r="A1299" s="2029"/>
      <c r="B1299" s="2030"/>
      <c r="C1299" s="2031"/>
      <c r="D1299" s="2032"/>
      <c r="E1299" s="2032"/>
      <c r="F1299" s="2033"/>
      <c r="G1299" s="2033"/>
      <c r="H1299" s="2034"/>
      <c r="I1299" s="1643"/>
      <c r="J1299" s="1589"/>
      <c r="K1299" s="2034"/>
      <c r="L1299" s="2034"/>
      <c r="M1299" s="1552"/>
      <c r="N1299" s="1553"/>
    </row>
    <row r="1300" spans="1:14">
      <c r="A1300" s="2029"/>
      <c r="B1300" s="2030"/>
      <c r="C1300" s="2031"/>
      <c r="D1300" s="2032"/>
      <c r="E1300" s="2032"/>
      <c r="F1300" s="2033"/>
      <c r="G1300" s="2033"/>
      <c r="H1300" s="2034"/>
      <c r="I1300" s="1643"/>
      <c r="J1300" s="1589"/>
      <c r="K1300" s="2034"/>
      <c r="L1300" s="2034"/>
      <c r="M1300" s="1552"/>
      <c r="N1300" s="1553"/>
    </row>
    <row r="1301" spans="1:14">
      <c r="A1301" s="1512"/>
      <c r="B1301" s="1513"/>
      <c r="C1301" s="1515"/>
      <c r="D1301" s="1515"/>
      <c r="E1301" s="1515"/>
      <c r="F1301" s="1589"/>
      <c r="G1301" s="1589"/>
      <c r="H1301" s="1589"/>
      <c r="I1301" s="1858"/>
      <c r="J1301" s="1585"/>
      <c r="K1301" s="1585"/>
      <c r="L1301" s="1585"/>
    </row>
    <row r="1302" spans="1:14">
      <c r="A1302" s="2196" t="s">
        <v>4614</v>
      </c>
      <c r="B1302" s="2196"/>
      <c r="C1302" s="2196"/>
      <c r="D1302" s="2196"/>
      <c r="E1302" s="2196"/>
      <c r="F1302" s="2196"/>
      <c r="G1302" s="2196"/>
      <c r="H1302" s="2196"/>
      <c r="I1302" s="2196"/>
      <c r="J1302" s="2196"/>
      <c r="K1302" s="2196"/>
      <c r="L1302" s="1475"/>
    </row>
    <row r="1304" spans="1:14" ht="27">
      <c r="A1304" s="2199" t="s">
        <v>2901</v>
      </c>
      <c r="B1304" s="2199" t="s">
        <v>2902</v>
      </c>
      <c r="C1304" s="2199" t="s">
        <v>2607</v>
      </c>
      <c r="D1304" s="2203" t="s">
        <v>2608</v>
      </c>
      <c r="E1304" s="2199" t="s">
        <v>2609</v>
      </c>
      <c r="F1304" s="2205" t="s">
        <v>2903</v>
      </c>
      <c r="G1304" s="2206"/>
      <c r="H1304" s="2207"/>
      <c r="I1304" s="2205" t="s">
        <v>2904</v>
      </c>
      <c r="J1304" s="2206"/>
      <c r="K1304" s="2207"/>
      <c r="L1304" s="1476" t="s">
        <v>2905</v>
      </c>
      <c r="M1304" s="2197" t="s">
        <v>2906</v>
      </c>
      <c r="N1304" s="2208" t="s">
        <v>2907</v>
      </c>
    </row>
    <row r="1305" spans="1:14">
      <c r="A1305" s="2200"/>
      <c r="B1305" s="2200"/>
      <c r="C1305" s="2200"/>
      <c r="D1305" s="2211"/>
      <c r="E1305" s="2200"/>
      <c r="F1305" s="1477" t="s">
        <v>2908</v>
      </c>
      <c r="G1305" s="1476" t="s">
        <v>2611</v>
      </c>
      <c r="H1305" s="1478" t="s">
        <v>2612</v>
      </c>
      <c r="I1305" s="1477" t="s">
        <v>2908</v>
      </c>
      <c r="J1305" s="1476" t="s">
        <v>2611</v>
      </c>
      <c r="K1305" s="1478" t="s">
        <v>2612</v>
      </c>
      <c r="L1305" s="1865"/>
      <c r="M1305" s="2198"/>
      <c r="N1305" s="2209"/>
    </row>
    <row r="1306" spans="1:14">
      <c r="A1306" s="1488">
        <v>1106</v>
      </c>
      <c r="B1306" s="2035">
        <v>1</v>
      </c>
      <c r="C1306" s="2035" t="s">
        <v>4615</v>
      </c>
      <c r="D1306" s="2035" t="s">
        <v>4616</v>
      </c>
      <c r="E1306" s="2035" t="s">
        <v>3488</v>
      </c>
      <c r="F1306" s="1887">
        <v>20000</v>
      </c>
      <c r="G1306" s="1887">
        <v>17800</v>
      </c>
      <c r="H1306" s="1887">
        <f t="shared" ref="H1306:H1317" si="84">F1306*G1306</f>
        <v>356000000</v>
      </c>
      <c r="I1306" s="1887">
        <v>20000</v>
      </c>
      <c r="J1306" s="1887">
        <v>17800</v>
      </c>
      <c r="K1306" s="1887">
        <f>I1306*J1306</f>
        <v>356000000</v>
      </c>
      <c r="L1306" s="1887">
        <f t="shared" ref="L1306:L1317" si="85">J1306-G1306</f>
        <v>0</v>
      </c>
      <c r="M1306" s="1887" t="s">
        <v>4617</v>
      </c>
      <c r="N1306" s="1596" t="s">
        <v>4618</v>
      </c>
    </row>
    <row r="1307" spans="1:14">
      <c r="A1307" s="1488">
        <v>1107</v>
      </c>
      <c r="B1307" s="2036">
        <v>2</v>
      </c>
      <c r="C1307" s="2036" t="s">
        <v>4619</v>
      </c>
      <c r="D1307" s="2036" t="s">
        <v>4616</v>
      </c>
      <c r="E1307" s="2036" t="s">
        <v>3488</v>
      </c>
      <c r="F1307" s="1843">
        <v>20000</v>
      </c>
      <c r="G1307" s="1843">
        <v>28350</v>
      </c>
      <c r="H1307" s="1843">
        <f t="shared" si="84"/>
        <v>567000000</v>
      </c>
      <c r="I1307" s="1843">
        <v>20000</v>
      </c>
      <c r="J1307" s="1843">
        <v>28350</v>
      </c>
      <c r="K1307" s="1843">
        <f t="shared" ref="K1307:K1317" si="86">I1307*J1307</f>
        <v>567000000</v>
      </c>
      <c r="L1307" s="1843">
        <f t="shared" si="85"/>
        <v>0</v>
      </c>
      <c r="M1307" s="1843" t="s">
        <v>4617</v>
      </c>
      <c r="N1307" s="1562" t="s">
        <v>4618</v>
      </c>
    </row>
    <row r="1308" spans="1:14">
      <c r="A1308" s="1488">
        <v>1108</v>
      </c>
      <c r="B1308" s="2036">
        <v>3</v>
      </c>
      <c r="C1308" s="2036" t="s">
        <v>4620</v>
      </c>
      <c r="D1308" s="2036" t="s">
        <v>4616</v>
      </c>
      <c r="E1308" s="2036" t="s">
        <v>3488</v>
      </c>
      <c r="F1308" s="1843">
        <v>10000</v>
      </c>
      <c r="G1308" s="1843">
        <v>28350</v>
      </c>
      <c r="H1308" s="1843">
        <f t="shared" si="84"/>
        <v>283500000</v>
      </c>
      <c r="I1308" s="1843">
        <v>10000</v>
      </c>
      <c r="J1308" s="1843">
        <v>28350</v>
      </c>
      <c r="K1308" s="1843">
        <f t="shared" si="86"/>
        <v>283500000</v>
      </c>
      <c r="L1308" s="1843">
        <f t="shared" si="85"/>
        <v>0</v>
      </c>
      <c r="M1308" s="1843" t="s">
        <v>4617</v>
      </c>
      <c r="N1308" s="1562" t="s">
        <v>4618</v>
      </c>
    </row>
    <row r="1309" spans="1:14">
      <c r="A1309" s="1488">
        <v>1109</v>
      </c>
      <c r="B1309" s="2036">
        <v>4</v>
      </c>
      <c r="C1309" s="2036" t="s">
        <v>4621</v>
      </c>
      <c r="D1309" s="2036" t="s">
        <v>4616</v>
      </c>
      <c r="E1309" s="2036" t="s">
        <v>3488</v>
      </c>
      <c r="F1309" s="1843">
        <v>5000</v>
      </c>
      <c r="G1309" s="1843">
        <v>18900</v>
      </c>
      <c r="H1309" s="1843">
        <f t="shared" si="84"/>
        <v>94500000</v>
      </c>
      <c r="I1309" s="1843">
        <v>5000</v>
      </c>
      <c r="J1309" s="1843">
        <v>18900</v>
      </c>
      <c r="K1309" s="1843">
        <f t="shared" si="86"/>
        <v>94500000</v>
      </c>
      <c r="L1309" s="1843">
        <f t="shared" si="85"/>
        <v>0</v>
      </c>
      <c r="M1309" s="1843" t="s">
        <v>4617</v>
      </c>
      <c r="N1309" s="1562" t="s">
        <v>4618</v>
      </c>
    </row>
    <row r="1310" spans="1:14">
      <c r="A1310" s="1488">
        <v>1110</v>
      </c>
      <c r="B1310" s="2036">
        <v>5</v>
      </c>
      <c r="C1310" s="2036" t="s">
        <v>4622</v>
      </c>
      <c r="D1310" s="2036" t="s">
        <v>4623</v>
      </c>
      <c r="E1310" s="2036" t="s">
        <v>435</v>
      </c>
      <c r="F1310" s="1843">
        <v>4</v>
      </c>
      <c r="G1310" s="1843">
        <v>5940000</v>
      </c>
      <c r="H1310" s="1843">
        <f t="shared" si="84"/>
        <v>23760000</v>
      </c>
      <c r="I1310" s="1843">
        <v>4</v>
      </c>
      <c r="J1310" s="1843">
        <v>5940000</v>
      </c>
      <c r="K1310" s="1843">
        <f t="shared" si="86"/>
        <v>23760000</v>
      </c>
      <c r="L1310" s="1843">
        <f t="shared" si="85"/>
        <v>0</v>
      </c>
      <c r="M1310" s="1843" t="s">
        <v>4624</v>
      </c>
      <c r="N1310" s="1562" t="s">
        <v>4618</v>
      </c>
    </row>
    <row r="1311" spans="1:14">
      <c r="A1311" s="1488">
        <v>1111</v>
      </c>
      <c r="B1311" s="2036">
        <v>6</v>
      </c>
      <c r="C1311" s="2036" t="s">
        <v>4625</v>
      </c>
      <c r="D1311" s="2036" t="s">
        <v>4623</v>
      </c>
      <c r="E1311" s="2036" t="s">
        <v>435</v>
      </c>
      <c r="F1311" s="1843">
        <v>4</v>
      </c>
      <c r="G1311" s="1843">
        <v>5940000</v>
      </c>
      <c r="H1311" s="1843">
        <f t="shared" si="84"/>
        <v>23760000</v>
      </c>
      <c r="I1311" s="1843">
        <v>4</v>
      </c>
      <c r="J1311" s="1843">
        <v>5940000</v>
      </c>
      <c r="K1311" s="1843">
        <f t="shared" si="86"/>
        <v>23760000</v>
      </c>
      <c r="L1311" s="1843">
        <f t="shared" si="85"/>
        <v>0</v>
      </c>
      <c r="M1311" s="1843" t="s">
        <v>4624</v>
      </c>
      <c r="N1311" s="1562" t="s">
        <v>4618</v>
      </c>
    </row>
    <row r="1312" spans="1:14">
      <c r="A1312" s="1488">
        <v>1112</v>
      </c>
      <c r="B1312" s="2036">
        <v>7</v>
      </c>
      <c r="C1312" s="2036" t="s">
        <v>4626</v>
      </c>
      <c r="D1312" s="2036" t="s">
        <v>4623</v>
      </c>
      <c r="E1312" s="2036" t="s">
        <v>435</v>
      </c>
      <c r="F1312" s="1843">
        <v>4</v>
      </c>
      <c r="G1312" s="1843">
        <v>5940000</v>
      </c>
      <c r="H1312" s="1843">
        <f t="shared" si="84"/>
        <v>23760000</v>
      </c>
      <c r="I1312" s="1843">
        <v>4</v>
      </c>
      <c r="J1312" s="1843">
        <v>5940000</v>
      </c>
      <c r="K1312" s="1843">
        <f t="shared" si="86"/>
        <v>23760000</v>
      </c>
      <c r="L1312" s="1843">
        <f t="shared" si="85"/>
        <v>0</v>
      </c>
      <c r="M1312" s="1843" t="s">
        <v>4624</v>
      </c>
      <c r="N1312" s="1562" t="s">
        <v>4618</v>
      </c>
    </row>
    <row r="1313" spans="1:14">
      <c r="A1313" s="1488">
        <v>1113</v>
      </c>
      <c r="B1313" s="2036">
        <v>8</v>
      </c>
      <c r="C1313" s="2036" t="s">
        <v>4627</v>
      </c>
      <c r="D1313" s="2036" t="s">
        <v>4623</v>
      </c>
      <c r="E1313" s="2036" t="s">
        <v>435</v>
      </c>
      <c r="F1313" s="1843">
        <v>4</v>
      </c>
      <c r="G1313" s="1843">
        <v>5940000</v>
      </c>
      <c r="H1313" s="1843">
        <f t="shared" si="84"/>
        <v>23760000</v>
      </c>
      <c r="I1313" s="1843">
        <v>4</v>
      </c>
      <c r="J1313" s="1843">
        <v>5940000</v>
      </c>
      <c r="K1313" s="1843">
        <f t="shared" si="86"/>
        <v>23760000</v>
      </c>
      <c r="L1313" s="1843">
        <f t="shared" si="85"/>
        <v>0</v>
      </c>
      <c r="M1313" s="1843" t="s">
        <v>4624</v>
      </c>
      <c r="N1313" s="1562" t="s">
        <v>4618</v>
      </c>
    </row>
    <row r="1314" spans="1:14">
      <c r="A1314" s="1488">
        <v>1114</v>
      </c>
      <c r="B1314" s="2036">
        <v>9</v>
      </c>
      <c r="C1314" s="2036" t="s">
        <v>4628</v>
      </c>
      <c r="D1314" s="2036" t="s">
        <v>4623</v>
      </c>
      <c r="E1314" s="2036" t="s">
        <v>435</v>
      </c>
      <c r="F1314" s="1843">
        <v>4</v>
      </c>
      <c r="G1314" s="1843">
        <v>5940000</v>
      </c>
      <c r="H1314" s="1843">
        <f t="shared" si="84"/>
        <v>23760000</v>
      </c>
      <c r="I1314" s="1843">
        <v>4</v>
      </c>
      <c r="J1314" s="1843">
        <v>5940000</v>
      </c>
      <c r="K1314" s="1843">
        <f t="shared" si="86"/>
        <v>23760000</v>
      </c>
      <c r="L1314" s="1843">
        <f t="shared" si="85"/>
        <v>0</v>
      </c>
      <c r="M1314" s="1843" t="s">
        <v>4624</v>
      </c>
      <c r="N1314" s="1562" t="s">
        <v>4618</v>
      </c>
    </row>
    <row r="1315" spans="1:14">
      <c r="A1315" s="1488">
        <v>1115</v>
      </c>
      <c r="B1315" s="2036">
        <v>10</v>
      </c>
      <c r="C1315" s="2036" t="s">
        <v>4629</v>
      </c>
      <c r="D1315" s="2036" t="s">
        <v>4623</v>
      </c>
      <c r="E1315" s="2036" t="s">
        <v>435</v>
      </c>
      <c r="F1315" s="1843">
        <v>4</v>
      </c>
      <c r="G1315" s="1843">
        <v>5940000</v>
      </c>
      <c r="H1315" s="1843">
        <f t="shared" si="84"/>
        <v>23760000</v>
      </c>
      <c r="I1315" s="1843">
        <v>4</v>
      </c>
      <c r="J1315" s="1843">
        <v>5940000</v>
      </c>
      <c r="K1315" s="1843">
        <f t="shared" si="86"/>
        <v>23760000</v>
      </c>
      <c r="L1315" s="1843">
        <f t="shared" si="85"/>
        <v>0</v>
      </c>
      <c r="M1315" s="1843" t="s">
        <v>4624</v>
      </c>
      <c r="N1315" s="1562" t="s">
        <v>4618</v>
      </c>
    </row>
    <row r="1316" spans="1:14">
      <c r="A1316" s="1488">
        <v>1116</v>
      </c>
      <c r="B1316" s="2036">
        <v>11</v>
      </c>
      <c r="C1316" s="2036" t="s">
        <v>4630</v>
      </c>
      <c r="D1316" s="2036" t="s">
        <v>4623</v>
      </c>
      <c r="E1316" s="2036" t="s">
        <v>435</v>
      </c>
      <c r="F1316" s="1843">
        <v>16</v>
      </c>
      <c r="G1316" s="1843">
        <v>5940000</v>
      </c>
      <c r="H1316" s="1843">
        <f t="shared" si="84"/>
        <v>95040000</v>
      </c>
      <c r="I1316" s="1843">
        <v>16</v>
      </c>
      <c r="J1316" s="1843">
        <v>5940000</v>
      </c>
      <c r="K1316" s="1843">
        <f t="shared" si="86"/>
        <v>95040000</v>
      </c>
      <c r="L1316" s="1843">
        <f t="shared" si="85"/>
        <v>0</v>
      </c>
      <c r="M1316" s="1843" t="s">
        <v>4624</v>
      </c>
      <c r="N1316" s="1562" t="s">
        <v>4618</v>
      </c>
    </row>
    <row r="1317" spans="1:14">
      <c r="A1317" s="1488">
        <v>1117</v>
      </c>
      <c r="B1317" s="2037">
        <v>12</v>
      </c>
      <c r="C1317" s="2036" t="s">
        <v>4631</v>
      </c>
      <c r="D1317" s="2036" t="s">
        <v>4623</v>
      </c>
      <c r="E1317" s="2036" t="s">
        <v>435</v>
      </c>
      <c r="F1317" s="1849">
        <v>16</v>
      </c>
      <c r="G1317" s="1849">
        <v>5940000</v>
      </c>
      <c r="H1317" s="1849">
        <f t="shared" si="84"/>
        <v>95040000</v>
      </c>
      <c r="I1317" s="1849">
        <v>16</v>
      </c>
      <c r="J1317" s="1849">
        <v>5940000</v>
      </c>
      <c r="K1317" s="1849">
        <f t="shared" si="86"/>
        <v>95040000</v>
      </c>
      <c r="L1317" s="1849">
        <f t="shared" si="85"/>
        <v>0</v>
      </c>
      <c r="M1317" s="1849" t="s">
        <v>4624</v>
      </c>
      <c r="N1317" s="1631" t="s">
        <v>4618</v>
      </c>
    </row>
    <row r="1318" spans="1:14">
      <c r="A1318" s="2038"/>
      <c r="B1318" s="1501"/>
      <c r="C1318" s="1501"/>
      <c r="D1318" s="1501"/>
      <c r="E1318" s="1501"/>
      <c r="F1318" s="1863"/>
      <c r="G1318" s="1863"/>
      <c r="H1318" s="2039">
        <f>SUM(H1306:H1317)</f>
        <v>1633640000</v>
      </c>
      <c r="I1318" s="1508"/>
      <c r="J1318" s="1863"/>
      <c r="K1318" s="2040">
        <f>SUM(K1306:K1317)</f>
        <v>1633640000</v>
      </c>
      <c r="L1318" s="2040"/>
      <c r="M1318" s="1510"/>
      <c r="N1318" s="1511"/>
    </row>
    <row r="1319" spans="1:14">
      <c r="A1319" s="2041"/>
      <c r="B1319" s="1512"/>
      <c r="C1319" s="1512"/>
      <c r="D1319" s="1512"/>
      <c r="E1319" s="1512"/>
      <c r="F1319" s="1479"/>
      <c r="G1319" s="1479"/>
      <c r="H1319" s="2042"/>
      <c r="I1319" s="1517"/>
      <c r="J1319" s="1479"/>
      <c r="K1319" s="2042"/>
      <c r="L1319" s="2042"/>
      <c r="M1319" s="1552"/>
      <c r="N1319" s="1553"/>
    </row>
    <row r="1320" spans="1:14">
      <c r="A1320" s="2041"/>
      <c r="B1320" s="1512"/>
      <c r="C1320" s="1512"/>
      <c r="D1320" s="1512"/>
      <c r="E1320" s="1512"/>
      <c r="F1320" s="1479"/>
      <c r="G1320" s="1479"/>
      <c r="H1320" s="2042"/>
      <c r="I1320" s="1517"/>
      <c r="J1320" s="1479"/>
      <c r="K1320" s="2042"/>
      <c r="L1320" s="2042"/>
      <c r="M1320" s="1552"/>
      <c r="N1320" s="1553"/>
    </row>
    <row r="1321" spans="1:14">
      <c r="A1321" s="2041"/>
      <c r="B1321" s="1512"/>
      <c r="C1321" s="1512"/>
      <c r="D1321" s="1512"/>
      <c r="E1321" s="1512"/>
      <c r="F1321" s="1479"/>
      <c r="G1321" s="1479"/>
      <c r="H1321" s="2042"/>
      <c r="I1321" s="1517"/>
      <c r="J1321" s="1479"/>
      <c r="K1321" s="2042"/>
      <c r="L1321" s="2042"/>
      <c r="M1321" s="1552"/>
      <c r="N1321" s="1553"/>
    </row>
    <row r="1322" spans="1:14">
      <c r="A1322" s="2041"/>
      <c r="B1322" s="1513"/>
      <c r="C1322" s="1515"/>
      <c r="D1322" s="1515"/>
      <c r="E1322" s="1515"/>
      <c r="F1322" s="1589"/>
      <c r="G1322" s="1589"/>
      <c r="H1322" s="1589"/>
      <c r="I1322" s="1858"/>
      <c r="J1322" s="1585"/>
      <c r="K1322" s="1585"/>
      <c r="L1322" s="1585"/>
    </row>
    <row r="1323" spans="1:14">
      <c r="A1323" s="1512"/>
      <c r="B1323" s="1513"/>
      <c r="C1323" s="1515"/>
      <c r="D1323" s="1515"/>
      <c r="E1323" s="1515"/>
      <c r="F1323" s="1589"/>
      <c r="G1323" s="1589"/>
      <c r="H1323" s="1589"/>
      <c r="I1323" s="1858"/>
      <c r="J1323" s="1585"/>
      <c r="K1323" s="1585"/>
      <c r="L1323" s="1585"/>
    </row>
    <row r="1324" spans="1:14">
      <c r="A1324" s="1512"/>
      <c r="B1324" s="1513"/>
      <c r="C1324" s="1515"/>
      <c r="D1324" s="1515"/>
      <c r="E1324" s="1515"/>
      <c r="F1324" s="1589"/>
      <c r="G1324" s="1589"/>
      <c r="H1324" s="1589"/>
      <c r="I1324" s="1858"/>
      <c r="J1324" s="1585"/>
      <c r="K1324" s="1585"/>
      <c r="L1324" s="1585"/>
    </row>
    <row r="1325" spans="1:14">
      <c r="A1325" s="2043"/>
      <c r="B1325" s="2240" t="s">
        <v>4632</v>
      </c>
      <c r="C1325" s="2240"/>
      <c r="D1325" s="2240"/>
      <c r="E1325" s="2240"/>
      <c r="F1325" s="2240"/>
      <c r="G1325" s="2240"/>
      <c r="H1325" s="2240"/>
      <c r="I1325" s="2240"/>
      <c r="J1325" s="2240"/>
      <c r="K1325" s="2240"/>
      <c r="L1325" s="2044"/>
    </row>
    <row r="1326" spans="1:14">
      <c r="A1326" s="2045"/>
      <c r="B1326" s="2045"/>
      <c r="C1326" s="2046"/>
      <c r="D1326" s="2046"/>
      <c r="E1326" s="2045"/>
      <c r="F1326" s="1590"/>
      <c r="G1326" s="1590"/>
      <c r="H1326" s="1590"/>
      <c r="I1326" s="2047"/>
      <c r="J1326" s="1590"/>
      <c r="K1326" s="1590"/>
      <c r="L1326" s="1590"/>
    </row>
    <row r="1327" spans="1:14" ht="27">
      <c r="A1327" s="2241" t="s">
        <v>2901</v>
      </c>
      <c r="B1327" s="2199" t="s">
        <v>2902</v>
      </c>
      <c r="C1327" s="2199" t="s">
        <v>2607</v>
      </c>
      <c r="D1327" s="2243" t="s">
        <v>2608</v>
      </c>
      <c r="E1327" s="2199" t="s">
        <v>2609</v>
      </c>
      <c r="F1327" s="2205" t="s">
        <v>2903</v>
      </c>
      <c r="G1327" s="2206"/>
      <c r="H1327" s="2207"/>
      <c r="I1327" s="2205" t="s">
        <v>2904</v>
      </c>
      <c r="J1327" s="2206"/>
      <c r="K1327" s="2207"/>
      <c r="L1327" s="1476" t="s">
        <v>2905</v>
      </c>
      <c r="M1327" s="2197" t="s">
        <v>2906</v>
      </c>
      <c r="N1327" s="2208" t="s">
        <v>2907</v>
      </c>
    </row>
    <row r="1328" spans="1:14">
      <c r="A1328" s="2242"/>
      <c r="B1328" s="2200"/>
      <c r="C1328" s="2200"/>
      <c r="D1328" s="2244"/>
      <c r="E1328" s="2200"/>
      <c r="F1328" s="1477" t="s">
        <v>2908</v>
      </c>
      <c r="G1328" s="1476" t="s">
        <v>2611</v>
      </c>
      <c r="H1328" s="1478" t="s">
        <v>2612</v>
      </c>
      <c r="I1328" s="1477" t="s">
        <v>2908</v>
      </c>
      <c r="J1328" s="1476" t="s">
        <v>2611</v>
      </c>
      <c r="K1328" s="1478" t="s">
        <v>2612</v>
      </c>
      <c r="L1328" s="1865"/>
      <c r="M1328" s="2198"/>
      <c r="N1328" s="2209"/>
    </row>
    <row r="1329" spans="1:14">
      <c r="A1329" s="1488">
        <v>1118</v>
      </c>
      <c r="B1329" s="2036">
        <v>1</v>
      </c>
      <c r="C1329" s="2036" t="s">
        <v>4633</v>
      </c>
      <c r="D1329" s="2036" t="s">
        <v>3035</v>
      </c>
      <c r="E1329" s="2036" t="s">
        <v>435</v>
      </c>
      <c r="F1329" s="2036">
        <v>30</v>
      </c>
      <c r="G1329" s="2036">
        <v>26696250</v>
      </c>
      <c r="H1329" s="2036">
        <f>G1329*F1329</f>
        <v>800887500</v>
      </c>
      <c r="I1329" s="1567">
        <v>30</v>
      </c>
      <c r="J1329" s="2036">
        <v>26965605</v>
      </c>
      <c r="K1329" s="2036">
        <f>I1329*J1329</f>
        <v>808968150</v>
      </c>
      <c r="L1329" s="1843">
        <f t="shared" ref="L1329:L1387" si="87">J1329-G1329</f>
        <v>269355</v>
      </c>
      <c r="M1329" s="2036" t="s">
        <v>4634</v>
      </c>
      <c r="N1329" s="1733" t="s">
        <v>2977</v>
      </c>
    </row>
    <row r="1330" spans="1:14">
      <c r="A1330" s="1488">
        <v>1119</v>
      </c>
      <c r="B1330" s="2036">
        <v>2</v>
      </c>
      <c r="C1330" s="2036" t="s">
        <v>4635</v>
      </c>
      <c r="D1330" s="2036" t="s">
        <v>4636</v>
      </c>
      <c r="E1330" s="2036" t="s">
        <v>435</v>
      </c>
      <c r="F1330" s="2036">
        <v>5</v>
      </c>
      <c r="G1330" s="2036">
        <v>7523250</v>
      </c>
      <c r="H1330" s="2036">
        <f t="shared" ref="H1330:H1387" si="88">G1330*F1330</f>
        <v>37616250</v>
      </c>
      <c r="I1330" s="1567">
        <v>5</v>
      </c>
      <c r="J1330" s="2036">
        <v>7599140</v>
      </c>
      <c r="K1330" s="2036">
        <f t="shared" ref="K1330:K1387" si="89">I1330*J1330</f>
        <v>37995700</v>
      </c>
      <c r="L1330" s="1843">
        <f t="shared" si="87"/>
        <v>75890</v>
      </c>
      <c r="M1330" s="2036" t="s">
        <v>4634</v>
      </c>
      <c r="N1330" s="1733" t="s">
        <v>2977</v>
      </c>
    </row>
    <row r="1331" spans="1:14">
      <c r="A1331" s="1488">
        <v>1120</v>
      </c>
      <c r="B1331" s="2036">
        <v>3</v>
      </c>
      <c r="C1331" s="2036" t="s">
        <v>4637</v>
      </c>
      <c r="D1331" s="2036" t="s">
        <v>3035</v>
      </c>
      <c r="E1331" s="2036" t="s">
        <v>435</v>
      </c>
      <c r="F1331" s="2036">
        <v>30</v>
      </c>
      <c r="G1331" s="2036">
        <v>3004050</v>
      </c>
      <c r="H1331" s="2036">
        <f t="shared" si="88"/>
        <v>90121500</v>
      </c>
      <c r="I1331" s="1567">
        <v>30</v>
      </c>
      <c r="J1331" s="2036">
        <v>3033985</v>
      </c>
      <c r="K1331" s="2036">
        <f t="shared" si="89"/>
        <v>91019550</v>
      </c>
      <c r="L1331" s="1843">
        <f t="shared" si="87"/>
        <v>29935</v>
      </c>
      <c r="M1331" s="2036" t="s">
        <v>4634</v>
      </c>
      <c r="N1331" s="1733" t="s">
        <v>2977</v>
      </c>
    </row>
    <row r="1332" spans="1:14">
      <c r="A1332" s="1488">
        <v>1121</v>
      </c>
      <c r="B1332" s="2036">
        <v>4</v>
      </c>
      <c r="C1332" s="2036" t="s">
        <v>4638</v>
      </c>
      <c r="D1332" s="2036" t="s">
        <v>3035</v>
      </c>
      <c r="E1332" s="2036" t="s">
        <v>435</v>
      </c>
      <c r="F1332" s="2036">
        <v>30</v>
      </c>
      <c r="G1332" s="2036">
        <v>3004050</v>
      </c>
      <c r="H1332" s="2036">
        <f t="shared" si="88"/>
        <v>90121500</v>
      </c>
      <c r="I1332" s="1567">
        <v>30</v>
      </c>
      <c r="J1332" s="2036">
        <v>3033985</v>
      </c>
      <c r="K1332" s="2036">
        <f t="shared" si="89"/>
        <v>91019550</v>
      </c>
      <c r="L1332" s="1843">
        <f t="shared" si="87"/>
        <v>29935</v>
      </c>
      <c r="M1332" s="2036" t="s">
        <v>4634</v>
      </c>
      <c r="N1332" s="1733" t="s">
        <v>2977</v>
      </c>
    </row>
    <row r="1333" spans="1:14">
      <c r="A1333" s="1488">
        <v>1122</v>
      </c>
      <c r="B1333" s="2036">
        <v>5</v>
      </c>
      <c r="C1333" s="2036" t="s">
        <v>4639</v>
      </c>
      <c r="D1333" s="2036" t="s">
        <v>3035</v>
      </c>
      <c r="E1333" s="2036" t="s">
        <v>435</v>
      </c>
      <c r="F1333" s="2036">
        <v>10</v>
      </c>
      <c r="G1333" s="2036">
        <v>3004050</v>
      </c>
      <c r="H1333" s="2036">
        <f t="shared" si="88"/>
        <v>30040500</v>
      </c>
      <c r="I1333" s="1567">
        <v>10</v>
      </c>
      <c r="J1333" s="2036">
        <v>3033985</v>
      </c>
      <c r="K1333" s="2036">
        <f t="shared" si="89"/>
        <v>30339850</v>
      </c>
      <c r="L1333" s="1843">
        <f t="shared" si="87"/>
        <v>29935</v>
      </c>
      <c r="M1333" s="2036" t="s">
        <v>4634</v>
      </c>
      <c r="N1333" s="1733" t="s">
        <v>2977</v>
      </c>
    </row>
    <row r="1334" spans="1:14">
      <c r="A1334" s="1488">
        <v>1123</v>
      </c>
      <c r="B1334" s="2036">
        <v>6</v>
      </c>
      <c r="C1334" s="2036" t="s">
        <v>4640</v>
      </c>
      <c r="D1334" s="2036" t="s">
        <v>3035</v>
      </c>
      <c r="E1334" s="2036" t="s">
        <v>435</v>
      </c>
      <c r="F1334" s="2036">
        <v>10</v>
      </c>
      <c r="G1334" s="2036">
        <v>3004050</v>
      </c>
      <c r="H1334" s="2036">
        <f t="shared" si="88"/>
        <v>30040500</v>
      </c>
      <c r="I1334" s="1567">
        <v>10</v>
      </c>
      <c r="J1334" s="2036">
        <v>3033985</v>
      </c>
      <c r="K1334" s="2036">
        <f t="shared" si="89"/>
        <v>30339850</v>
      </c>
      <c r="L1334" s="1843">
        <f t="shared" si="87"/>
        <v>29935</v>
      </c>
      <c r="M1334" s="2036" t="s">
        <v>4634</v>
      </c>
      <c r="N1334" s="1733" t="s">
        <v>2977</v>
      </c>
    </row>
    <row r="1335" spans="1:14">
      <c r="A1335" s="1488">
        <v>1124</v>
      </c>
      <c r="B1335" s="2036">
        <v>7</v>
      </c>
      <c r="C1335" s="2036" t="s">
        <v>4641</v>
      </c>
      <c r="D1335" s="2036" t="s">
        <v>3035</v>
      </c>
      <c r="E1335" s="2036" t="s">
        <v>435</v>
      </c>
      <c r="F1335" s="2036">
        <v>30</v>
      </c>
      <c r="G1335" s="2036">
        <v>3004050</v>
      </c>
      <c r="H1335" s="2036">
        <f t="shared" si="88"/>
        <v>90121500</v>
      </c>
      <c r="I1335" s="1567">
        <v>30</v>
      </c>
      <c r="J1335" s="2036">
        <v>3033985</v>
      </c>
      <c r="K1335" s="2036">
        <f t="shared" si="89"/>
        <v>91019550</v>
      </c>
      <c r="L1335" s="1843">
        <f t="shared" si="87"/>
        <v>29935</v>
      </c>
      <c r="M1335" s="2036" t="s">
        <v>4634</v>
      </c>
      <c r="N1335" s="1733" t="s">
        <v>2977</v>
      </c>
    </row>
    <row r="1336" spans="1:14">
      <c r="A1336" s="1488">
        <v>1125</v>
      </c>
      <c r="B1336" s="2036">
        <v>8</v>
      </c>
      <c r="C1336" s="2036" t="s">
        <v>4642</v>
      </c>
      <c r="D1336" s="2036" t="s">
        <v>4643</v>
      </c>
      <c r="E1336" s="2036" t="s">
        <v>435</v>
      </c>
      <c r="F1336" s="2036">
        <v>5</v>
      </c>
      <c r="G1336" s="2036">
        <v>3761100</v>
      </c>
      <c r="H1336" s="2036">
        <f t="shared" si="88"/>
        <v>18805500</v>
      </c>
      <c r="I1336" s="1567">
        <v>5</v>
      </c>
      <c r="J1336" s="2036">
        <v>3799570</v>
      </c>
      <c r="K1336" s="2036">
        <f t="shared" si="89"/>
        <v>18997850</v>
      </c>
      <c r="L1336" s="1843">
        <f t="shared" si="87"/>
        <v>38470</v>
      </c>
      <c r="M1336" s="2036" t="s">
        <v>4634</v>
      </c>
      <c r="N1336" s="1733" t="s">
        <v>2977</v>
      </c>
    </row>
    <row r="1337" spans="1:14">
      <c r="A1337" s="1488">
        <v>1126</v>
      </c>
      <c r="B1337" s="2036">
        <v>9</v>
      </c>
      <c r="C1337" s="2036" t="s">
        <v>4644</v>
      </c>
      <c r="D1337" s="2036" t="s">
        <v>4643</v>
      </c>
      <c r="E1337" s="2036" t="s">
        <v>435</v>
      </c>
      <c r="F1337" s="2036">
        <v>5</v>
      </c>
      <c r="G1337" s="2036">
        <v>3761100</v>
      </c>
      <c r="H1337" s="2036">
        <f t="shared" si="88"/>
        <v>18805500</v>
      </c>
      <c r="I1337" s="1567">
        <v>5</v>
      </c>
      <c r="J1337" s="2036">
        <v>3799570</v>
      </c>
      <c r="K1337" s="2036">
        <f t="shared" si="89"/>
        <v>18997850</v>
      </c>
      <c r="L1337" s="1843">
        <f t="shared" si="87"/>
        <v>38470</v>
      </c>
      <c r="M1337" s="2036" t="s">
        <v>4634</v>
      </c>
      <c r="N1337" s="1733" t="s">
        <v>2977</v>
      </c>
    </row>
    <row r="1338" spans="1:14">
      <c r="A1338" s="1488">
        <v>1127</v>
      </c>
      <c r="B1338" s="2036">
        <v>10</v>
      </c>
      <c r="C1338" s="2036" t="s">
        <v>4645</v>
      </c>
      <c r="D1338" s="2036" t="s">
        <v>4643</v>
      </c>
      <c r="E1338" s="2036" t="s">
        <v>435</v>
      </c>
      <c r="F1338" s="2036">
        <v>2</v>
      </c>
      <c r="G1338" s="2036">
        <v>3761100</v>
      </c>
      <c r="H1338" s="2036">
        <f t="shared" si="88"/>
        <v>7522200</v>
      </c>
      <c r="I1338" s="1567">
        <v>2</v>
      </c>
      <c r="J1338" s="2036">
        <v>3799570</v>
      </c>
      <c r="K1338" s="2036">
        <f t="shared" si="89"/>
        <v>7599140</v>
      </c>
      <c r="L1338" s="1843">
        <f t="shared" si="87"/>
        <v>38470</v>
      </c>
      <c r="M1338" s="2036" t="s">
        <v>4634</v>
      </c>
      <c r="N1338" s="1733" t="s">
        <v>2977</v>
      </c>
    </row>
    <row r="1339" spans="1:14">
      <c r="A1339" s="1488">
        <v>1128</v>
      </c>
      <c r="B1339" s="2036">
        <v>11</v>
      </c>
      <c r="C1339" s="2036" t="s">
        <v>4646</v>
      </c>
      <c r="D1339" s="2036" t="s">
        <v>3035</v>
      </c>
      <c r="E1339" s="2036" t="s">
        <v>435</v>
      </c>
      <c r="F1339" s="2036">
        <v>2</v>
      </c>
      <c r="G1339" s="2036">
        <v>6793500</v>
      </c>
      <c r="H1339" s="2036">
        <f t="shared" si="88"/>
        <v>13587000</v>
      </c>
      <c r="I1339" s="1567">
        <v>2</v>
      </c>
      <c r="J1339" s="2036">
        <v>6861910</v>
      </c>
      <c r="K1339" s="2036">
        <f t="shared" si="89"/>
        <v>13723820</v>
      </c>
      <c r="L1339" s="1843">
        <f t="shared" si="87"/>
        <v>68410</v>
      </c>
      <c r="M1339" s="2036" t="s">
        <v>4634</v>
      </c>
      <c r="N1339" s="1733" t="s">
        <v>2977</v>
      </c>
    </row>
    <row r="1340" spans="1:14">
      <c r="A1340" s="1488">
        <v>1129</v>
      </c>
      <c r="B1340" s="2036">
        <v>12</v>
      </c>
      <c r="C1340" s="2036" t="s">
        <v>4647</v>
      </c>
      <c r="D1340" s="2036" t="s">
        <v>4368</v>
      </c>
      <c r="E1340" s="2036" t="s">
        <v>435</v>
      </c>
      <c r="F1340" s="2036">
        <v>1</v>
      </c>
      <c r="G1340" s="2036">
        <v>3761100</v>
      </c>
      <c r="H1340" s="2036">
        <f t="shared" si="88"/>
        <v>3761100</v>
      </c>
      <c r="I1340" s="1567">
        <v>1</v>
      </c>
      <c r="J1340" s="2036">
        <v>3799570</v>
      </c>
      <c r="K1340" s="2036">
        <f t="shared" si="89"/>
        <v>3799570</v>
      </c>
      <c r="L1340" s="1843">
        <f t="shared" si="87"/>
        <v>38470</v>
      </c>
      <c r="M1340" s="2036" t="s">
        <v>4634</v>
      </c>
      <c r="N1340" s="1733" t="s">
        <v>2977</v>
      </c>
    </row>
    <row r="1341" spans="1:14">
      <c r="A1341" s="1488">
        <v>1130</v>
      </c>
      <c r="B1341" s="2036">
        <v>13</v>
      </c>
      <c r="C1341" s="2036" t="s">
        <v>4648</v>
      </c>
      <c r="D1341" s="2036" t="s">
        <v>3035</v>
      </c>
      <c r="E1341" s="2036" t="s">
        <v>435</v>
      </c>
      <c r="F1341" s="2036">
        <v>5</v>
      </c>
      <c r="G1341" s="2036">
        <v>6793500</v>
      </c>
      <c r="H1341" s="2036">
        <f t="shared" si="88"/>
        <v>33967500</v>
      </c>
      <c r="I1341" s="1567">
        <v>5</v>
      </c>
      <c r="J1341" s="2036">
        <v>6861910</v>
      </c>
      <c r="K1341" s="2036">
        <f t="shared" si="89"/>
        <v>34309550</v>
      </c>
      <c r="L1341" s="1843">
        <f t="shared" si="87"/>
        <v>68410</v>
      </c>
      <c r="M1341" s="2036" t="s">
        <v>4634</v>
      </c>
      <c r="N1341" s="1733" t="s">
        <v>2977</v>
      </c>
    </row>
    <row r="1342" spans="1:14">
      <c r="A1342" s="1488">
        <v>1131</v>
      </c>
      <c r="B1342" s="2036">
        <v>14</v>
      </c>
      <c r="C1342" s="2036" t="s">
        <v>4649</v>
      </c>
      <c r="D1342" s="2036" t="s">
        <v>4368</v>
      </c>
      <c r="E1342" s="2036" t="s">
        <v>435</v>
      </c>
      <c r="F1342" s="2036">
        <v>1</v>
      </c>
      <c r="G1342" s="2036">
        <v>3761100</v>
      </c>
      <c r="H1342" s="2036">
        <f t="shared" si="88"/>
        <v>3761100</v>
      </c>
      <c r="I1342" s="1567">
        <v>1</v>
      </c>
      <c r="J1342" s="2036">
        <v>3799570</v>
      </c>
      <c r="K1342" s="2036">
        <f t="shared" si="89"/>
        <v>3799570</v>
      </c>
      <c r="L1342" s="1843">
        <f t="shared" si="87"/>
        <v>38470</v>
      </c>
      <c r="M1342" s="2036" t="s">
        <v>4634</v>
      </c>
      <c r="N1342" s="1733" t="s">
        <v>2977</v>
      </c>
    </row>
    <row r="1343" spans="1:14">
      <c r="A1343" s="1488">
        <v>1132</v>
      </c>
      <c r="B1343" s="2036">
        <v>15</v>
      </c>
      <c r="C1343" s="2036" t="s">
        <v>4650</v>
      </c>
      <c r="D1343" s="2036" t="s">
        <v>3035</v>
      </c>
      <c r="E1343" s="2036" t="s">
        <v>435</v>
      </c>
      <c r="F1343" s="2036">
        <v>5</v>
      </c>
      <c r="G1343" s="2036">
        <v>6793500</v>
      </c>
      <c r="H1343" s="2036">
        <f t="shared" si="88"/>
        <v>33967500</v>
      </c>
      <c r="I1343" s="1567">
        <v>5</v>
      </c>
      <c r="J1343" s="2036">
        <v>6861910</v>
      </c>
      <c r="K1343" s="2036">
        <f t="shared" si="89"/>
        <v>34309550</v>
      </c>
      <c r="L1343" s="1843">
        <f t="shared" si="87"/>
        <v>68410</v>
      </c>
      <c r="M1343" s="2036" t="s">
        <v>4634</v>
      </c>
      <c r="N1343" s="1733" t="s">
        <v>2977</v>
      </c>
    </row>
    <row r="1344" spans="1:14">
      <c r="A1344" s="1488">
        <v>1133</v>
      </c>
      <c r="B1344" s="2036">
        <v>16</v>
      </c>
      <c r="C1344" s="2036" t="s">
        <v>4651</v>
      </c>
      <c r="D1344" s="2036" t="s">
        <v>4368</v>
      </c>
      <c r="E1344" s="2036" t="s">
        <v>435</v>
      </c>
      <c r="F1344" s="2036">
        <v>1</v>
      </c>
      <c r="G1344" s="2036">
        <v>3761100</v>
      </c>
      <c r="H1344" s="2036">
        <f t="shared" si="88"/>
        <v>3761100</v>
      </c>
      <c r="I1344" s="1567">
        <v>1</v>
      </c>
      <c r="J1344" s="2036">
        <v>3799570</v>
      </c>
      <c r="K1344" s="2036">
        <f t="shared" si="89"/>
        <v>3799570</v>
      </c>
      <c r="L1344" s="1843">
        <f t="shared" si="87"/>
        <v>38470</v>
      </c>
      <c r="M1344" s="2036" t="s">
        <v>4634</v>
      </c>
      <c r="N1344" s="1733" t="s">
        <v>2977</v>
      </c>
    </row>
    <row r="1345" spans="1:14">
      <c r="A1345" s="1488">
        <v>1134</v>
      </c>
      <c r="B1345" s="2036">
        <v>17</v>
      </c>
      <c r="C1345" s="2036" t="s">
        <v>4652</v>
      </c>
      <c r="D1345" s="2036" t="s">
        <v>3035</v>
      </c>
      <c r="E1345" s="2036" t="s">
        <v>435</v>
      </c>
      <c r="F1345" s="2036">
        <v>5</v>
      </c>
      <c r="G1345" s="2036">
        <v>7698600</v>
      </c>
      <c r="H1345" s="2036">
        <f t="shared" si="88"/>
        <v>38493000</v>
      </c>
      <c r="I1345" s="1567">
        <v>5</v>
      </c>
      <c r="J1345" s="2036">
        <v>7776760</v>
      </c>
      <c r="K1345" s="2036">
        <f t="shared" si="89"/>
        <v>38883800</v>
      </c>
      <c r="L1345" s="1843">
        <f t="shared" si="87"/>
        <v>78160</v>
      </c>
      <c r="M1345" s="2036" t="s">
        <v>4653</v>
      </c>
      <c r="N1345" s="1733" t="s">
        <v>2977</v>
      </c>
    </row>
    <row r="1346" spans="1:14">
      <c r="A1346" s="1488">
        <v>1135</v>
      </c>
      <c r="B1346" s="2036">
        <v>18</v>
      </c>
      <c r="C1346" s="2036" t="s">
        <v>4654</v>
      </c>
      <c r="D1346" s="2036" t="s">
        <v>4655</v>
      </c>
      <c r="E1346" s="2036" t="s">
        <v>435</v>
      </c>
      <c r="F1346" s="2036">
        <v>1</v>
      </c>
      <c r="G1346" s="2036">
        <v>3922800</v>
      </c>
      <c r="H1346" s="2036">
        <f t="shared" si="88"/>
        <v>3922800</v>
      </c>
      <c r="I1346" s="1567">
        <v>1</v>
      </c>
      <c r="J1346" s="2036">
        <v>3962210</v>
      </c>
      <c r="K1346" s="2036">
        <f t="shared" si="89"/>
        <v>3962210</v>
      </c>
      <c r="L1346" s="1843">
        <f t="shared" si="87"/>
        <v>39410</v>
      </c>
      <c r="M1346" s="2036" t="s">
        <v>4653</v>
      </c>
      <c r="N1346" s="1733" t="s">
        <v>2977</v>
      </c>
    </row>
    <row r="1347" spans="1:14">
      <c r="A1347" s="1488">
        <v>1136</v>
      </c>
      <c r="B1347" s="2036">
        <v>19</v>
      </c>
      <c r="C1347" s="2036" t="s">
        <v>4656</v>
      </c>
      <c r="D1347" s="2036" t="s">
        <v>4535</v>
      </c>
      <c r="E1347" s="2036" t="s">
        <v>435</v>
      </c>
      <c r="F1347" s="2036">
        <v>1</v>
      </c>
      <c r="G1347" s="2036">
        <v>3922800</v>
      </c>
      <c r="H1347" s="2036">
        <f t="shared" si="88"/>
        <v>3922800</v>
      </c>
      <c r="I1347" s="1567">
        <v>1</v>
      </c>
      <c r="J1347" s="2036">
        <v>3962210</v>
      </c>
      <c r="K1347" s="2036">
        <f t="shared" si="89"/>
        <v>3962210</v>
      </c>
      <c r="L1347" s="1843">
        <f t="shared" si="87"/>
        <v>39410</v>
      </c>
      <c r="M1347" s="2036" t="s">
        <v>4653</v>
      </c>
      <c r="N1347" s="1733" t="s">
        <v>2977</v>
      </c>
    </row>
    <row r="1348" spans="1:14">
      <c r="A1348" s="1488">
        <v>1137</v>
      </c>
      <c r="B1348" s="2036">
        <v>20</v>
      </c>
      <c r="C1348" s="2036" t="s">
        <v>4657</v>
      </c>
      <c r="D1348" s="2036" t="s">
        <v>3035</v>
      </c>
      <c r="E1348" s="2036" t="s">
        <v>435</v>
      </c>
      <c r="F1348" s="2036">
        <v>2</v>
      </c>
      <c r="G1348" s="2036">
        <v>39225900</v>
      </c>
      <c r="H1348" s="2036">
        <f t="shared" si="88"/>
        <v>78451800</v>
      </c>
      <c r="I1348" s="1567">
        <v>2</v>
      </c>
      <c r="J1348" s="2036">
        <v>39622100</v>
      </c>
      <c r="K1348" s="2036">
        <f t="shared" si="89"/>
        <v>79244200</v>
      </c>
      <c r="L1348" s="1843">
        <f t="shared" si="87"/>
        <v>396200</v>
      </c>
      <c r="M1348" s="2036" t="s">
        <v>4653</v>
      </c>
      <c r="N1348" s="1733" t="s">
        <v>2977</v>
      </c>
    </row>
    <row r="1349" spans="1:14">
      <c r="A1349" s="1488">
        <v>1138</v>
      </c>
      <c r="B1349" s="2036">
        <v>21</v>
      </c>
      <c r="C1349" s="2036" t="s">
        <v>4658</v>
      </c>
      <c r="D1349" s="2036" t="s">
        <v>4659</v>
      </c>
      <c r="E1349" s="2036" t="s">
        <v>435</v>
      </c>
      <c r="F1349" s="2036">
        <v>1</v>
      </c>
      <c r="G1349" s="2036">
        <v>4044600</v>
      </c>
      <c r="H1349" s="2036">
        <f t="shared" si="88"/>
        <v>4044600</v>
      </c>
      <c r="I1349" s="1567">
        <v>1</v>
      </c>
      <c r="J1349" s="2036">
        <v>4085260.0000000005</v>
      </c>
      <c r="K1349" s="2036">
        <f t="shared" si="89"/>
        <v>4085260.0000000005</v>
      </c>
      <c r="L1349" s="1843">
        <f t="shared" si="87"/>
        <v>40660.000000000466</v>
      </c>
      <c r="M1349" s="2036" t="s">
        <v>4653</v>
      </c>
      <c r="N1349" s="1733" t="s">
        <v>2977</v>
      </c>
    </row>
    <row r="1350" spans="1:14">
      <c r="A1350" s="1488">
        <v>1139</v>
      </c>
      <c r="B1350" s="2036">
        <v>22</v>
      </c>
      <c r="C1350" s="2036" t="s">
        <v>4660</v>
      </c>
      <c r="D1350" s="2036" t="s">
        <v>4535</v>
      </c>
      <c r="E1350" s="2036" t="s">
        <v>435</v>
      </c>
      <c r="F1350" s="2036">
        <v>1</v>
      </c>
      <c r="G1350" s="2036">
        <v>3922800</v>
      </c>
      <c r="H1350" s="2036">
        <f t="shared" si="88"/>
        <v>3922800</v>
      </c>
      <c r="I1350" s="1567">
        <v>1</v>
      </c>
      <c r="J1350" s="2036">
        <v>3962210</v>
      </c>
      <c r="K1350" s="2036">
        <f t="shared" si="89"/>
        <v>3962210</v>
      </c>
      <c r="L1350" s="1843">
        <f t="shared" si="87"/>
        <v>39410</v>
      </c>
      <c r="M1350" s="2036" t="s">
        <v>4653</v>
      </c>
      <c r="N1350" s="1733" t="s">
        <v>2977</v>
      </c>
    </row>
    <row r="1351" spans="1:14">
      <c r="A1351" s="1488">
        <v>1140</v>
      </c>
      <c r="B1351" s="2036">
        <v>23</v>
      </c>
      <c r="C1351" s="2036" t="s">
        <v>4661</v>
      </c>
      <c r="D1351" s="2036" t="s">
        <v>3035</v>
      </c>
      <c r="E1351" s="2036" t="s">
        <v>435</v>
      </c>
      <c r="F1351" s="2036">
        <v>5</v>
      </c>
      <c r="G1351" s="2036">
        <v>11312700</v>
      </c>
      <c r="H1351" s="2036">
        <f t="shared" si="88"/>
        <v>56563500</v>
      </c>
      <c r="I1351" s="1567">
        <v>5</v>
      </c>
      <c r="J1351" s="2036">
        <v>11427065</v>
      </c>
      <c r="K1351" s="2036">
        <f t="shared" si="89"/>
        <v>57135325</v>
      </c>
      <c r="L1351" s="1843">
        <f t="shared" si="87"/>
        <v>114365</v>
      </c>
      <c r="M1351" s="2036" t="s">
        <v>4634</v>
      </c>
      <c r="N1351" s="1733" t="s">
        <v>2977</v>
      </c>
    </row>
    <row r="1352" spans="1:14">
      <c r="A1352" s="1488">
        <v>1141</v>
      </c>
      <c r="B1352" s="2036">
        <v>24</v>
      </c>
      <c r="C1352" s="2036" t="s">
        <v>4662</v>
      </c>
      <c r="D1352" s="2036" t="s">
        <v>4663</v>
      </c>
      <c r="E1352" s="2036" t="s">
        <v>435</v>
      </c>
      <c r="F1352" s="2036">
        <v>2</v>
      </c>
      <c r="G1352" s="2036">
        <v>9403800</v>
      </c>
      <c r="H1352" s="2036">
        <f t="shared" si="88"/>
        <v>18807600</v>
      </c>
      <c r="I1352" s="1567">
        <v>2</v>
      </c>
      <c r="J1352" s="2036">
        <v>9498925</v>
      </c>
      <c r="K1352" s="2036">
        <f t="shared" si="89"/>
        <v>18997850</v>
      </c>
      <c r="L1352" s="1843">
        <f t="shared" si="87"/>
        <v>95125</v>
      </c>
      <c r="M1352" s="2036" t="s">
        <v>4634</v>
      </c>
      <c r="N1352" s="1733" t="s">
        <v>2977</v>
      </c>
    </row>
    <row r="1353" spans="1:14">
      <c r="A1353" s="1488">
        <v>1142</v>
      </c>
      <c r="B1353" s="2036">
        <v>25</v>
      </c>
      <c r="C1353" s="2036" t="s">
        <v>4664</v>
      </c>
      <c r="D1353" s="2036" t="s">
        <v>3035</v>
      </c>
      <c r="E1353" s="2036" t="s">
        <v>435</v>
      </c>
      <c r="F1353" s="2036">
        <v>5</v>
      </c>
      <c r="G1353" s="2036">
        <v>7523250</v>
      </c>
      <c r="H1353" s="2036">
        <f t="shared" si="88"/>
        <v>37616250</v>
      </c>
      <c r="I1353" s="1567">
        <v>5</v>
      </c>
      <c r="J1353" s="2036">
        <v>7599140</v>
      </c>
      <c r="K1353" s="2036">
        <f t="shared" si="89"/>
        <v>37995700</v>
      </c>
      <c r="L1353" s="1843">
        <f t="shared" si="87"/>
        <v>75890</v>
      </c>
      <c r="M1353" s="2036" t="s">
        <v>4634</v>
      </c>
      <c r="N1353" s="1733" t="s">
        <v>2977</v>
      </c>
    </row>
    <row r="1354" spans="1:14">
      <c r="A1354" s="1488">
        <v>1143</v>
      </c>
      <c r="B1354" s="2036">
        <v>26</v>
      </c>
      <c r="C1354" s="2036" t="s">
        <v>4665</v>
      </c>
      <c r="D1354" s="2036" t="s">
        <v>3035</v>
      </c>
      <c r="E1354" s="2036" t="s">
        <v>435</v>
      </c>
      <c r="F1354" s="2036">
        <v>5</v>
      </c>
      <c r="G1354" s="2036">
        <v>7523250</v>
      </c>
      <c r="H1354" s="2036">
        <f t="shared" si="88"/>
        <v>37616250</v>
      </c>
      <c r="I1354" s="1567">
        <v>5</v>
      </c>
      <c r="J1354" s="2036">
        <v>7599140</v>
      </c>
      <c r="K1354" s="2036">
        <f t="shared" si="89"/>
        <v>37995700</v>
      </c>
      <c r="L1354" s="1843">
        <f t="shared" si="87"/>
        <v>75890</v>
      </c>
      <c r="M1354" s="2036" t="s">
        <v>4634</v>
      </c>
      <c r="N1354" s="1733" t="s">
        <v>2977</v>
      </c>
    </row>
    <row r="1355" spans="1:14">
      <c r="A1355" s="1488">
        <v>1144</v>
      </c>
      <c r="B1355" s="2036">
        <v>27</v>
      </c>
      <c r="C1355" s="2036" t="s">
        <v>4666</v>
      </c>
      <c r="D1355" s="2036" t="s">
        <v>3035</v>
      </c>
      <c r="E1355" s="2036" t="s">
        <v>435</v>
      </c>
      <c r="F1355" s="2036">
        <v>5</v>
      </c>
      <c r="G1355" s="2036">
        <v>7523250</v>
      </c>
      <c r="H1355" s="2036">
        <f t="shared" si="88"/>
        <v>37616250</v>
      </c>
      <c r="I1355" s="1567">
        <v>5</v>
      </c>
      <c r="J1355" s="2036">
        <v>7599140</v>
      </c>
      <c r="K1355" s="2036">
        <f t="shared" si="89"/>
        <v>37995700</v>
      </c>
      <c r="L1355" s="1843">
        <f t="shared" si="87"/>
        <v>75890</v>
      </c>
      <c r="M1355" s="2036" t="s">
        <v>4634</v>
      </c>
      <c r="N1355" s="1733" t="s">
        <v>2977</v>
      </c>
    </row>
    <row r="1356" spans="1:14">
      <c r="A1356" s="1488">
        <v>1145</v>
      </c>
      <c r="B1356" s="2036">
        <v>28</v>
      </c>
      <c r="C1356" s="2036" t="s">
        <v>4667</v>
      </c>
      <c r="D1356" s="2036" t="s">
        <v>3035</v>
      </c>
      <c r="E1356" s="2036" t="s">
        <v>435</v>
      </c>
      <c r="F1356" s="2036">
        <v>10</v>
      </c>
      <c r="G1356" s="2036">
        <v>5277300</v>
      </c>
      <c r="H1356" s="2036">
        <f t="shared" si="88"/>
        <v>52773000</v>
      </c>
      <c r="I1356" s="1567">
        <v>10</v>
      </c>
      <c r="J1356" s="2036">
        <v>5330740</v>
      </c>
      <c r="K1356" s="2036">
        <f t="shared" si="89"/>
        <v>53307400</v>
      </c>
      <c r="L1356" s="1843">
        <f t="shared" si="87"/>
        <v>53440</v>
      </c>
      <c r="M1356" s="2036" t="s">
        <v>4634</v>
      </c>
      <c r="N1356" s="1733" t="s">
        <v>2977</v>
      </c>
    </row>
    <row r="1357" spans="1:14">
      <c r="A1357" s="1488">
        <v>1146</v>
      </c>
      <c r="B1357" s="2036">
        <v>29</v>
      </c>
      <c r="C1357" s="2036" t="s">
        <v>4668</v>
      </c>
      <c r="D1357" s="2036" t="s">
        <v>4669</v>
      </c>
      <c r="E1357" s="2036" t="s">
        <v>435</v>
      </c>
      <c r="F1357" s="2036">
        <v>2</v>
      </c>
      <c r="G1357" s="2036">
        <v>9403800</v>
      </c>
      <c r="H1357" s="2036">
        <f t="shared" si="88"/>
        <v>18807600</v>
      </c>
      <c r="I1357" s="1567">
        <v>2</v>
      </c>
      <c r="J1357" s="2036">
        <v>9498925</v>
      </c>
      <c r="K1357" s="2036">
        <f t="shared" si="89"/>
        <v>18997850</v>
      </c>
      <c r="L1357" s="1843">
        <f t="shared" si="87"/>
        <v>95125</v>
      </c>
      <c r="M1357" s="2036" t="s">
        <v>4634</v>
      </c>
      <c r="N1357" s="1733" t="s">
        <v>2977</v>
      </c>
    </row>
    <row r="1358" spans="1:14">
      <c r="A1358" s="1488">
        <v>1147</v>
      </c>
      <c r="B1358" s="2036">
        <v>30</v>
      </c>
      <c r="C1358" s="2036" t="s">
        <v>4670</v>
      </c>
      <c r="D1358" s="2036" t="s">
        <v>3035</v>
      </c>
      <c r="E1358" s="2036" t="s">
        <v>435</v>
      </c>
      <c r="F1358" s="2036">
        <v>10</v>
      </c>
      <c r="G1358" s="2036">
        <v>5277300</v>
      </c>
      <c r="H1358" s="2036">
        <f t="shared" si="88"/>
        <v>52773000</v>
      </c>
      <c r="I1358" s="1567">
        <v>10</v>
      </c>
      <c r="J1358" s="2036">
        <v>5330740</v>
      </c>
      <c r="K1358" s="2036">
        <f t="shared" si="89"/>
        <v>53307400</v>
      </c>
      <c r="L1358" s="1843">
        <f t="shared" si="87"/>
        <v>53440</v>
      </c>
      <c r="M1358" s="2036" t="s">
        <v>4634</v>
      </c>
      <c r="N1358" s="1733" t="s">
        <v>2977</v>
      </c>
    </row>
    <row r="1359" spans="1:14">
      <c r="A1359" s="1488">
        <v>1148</v>
      </c>
      <c r="B1359" s="2036">
        <v>31</v>
      </c>
      <c r="C1359" s="2036" t="s">
        <v>4671</v>
      </c>
      <c r="D1359" s="2036" t="s">
        <v>3035</v>
      </c>
      <c r="E1359" s="2036" t="s">
        <v>435</v>
      </c>
      <c r="F1359" s="2036">
        <v>10</v>
      </c>
      <c r="G1359" s="2036">
        <v>5277300</v>
      </c>
      <c r="H1359" s="2036">
        <f t="shared" si="88"/>
        <v>52773000</v>
      </c>
      <c r="I1359" s="1567">
        <v>10</v>
      </c>
      <c r="J1359" s="2036">
        <v>5330740</v>
      </c>
      <c r="K1359" s="2036">
        <f t="shared" si="89"/>
        <v>53307400</v>
      </c>
      <c r="L1359" s="1843">
        <f t="shared" si="87"/>
        <v>53440</v>
      </c>
      <c r="M1359" s="2036" t="s">
        <v>4672</v>
      </c>
      <c r="N1359" s="1733" t="s">
        <v>2977</v>
      </c>
    </row>
    <row r="1360" spans="1:14">
      <c r="A1360" s="1488">
        <v>1149</v>
      </c>
      <c r="B1360" s="2036">
        <v>32</v>
      </c>
      <c r="C1360" s="2036" t="s">
        <v>4673</v>
      </c>
      <c r="D1360" s="2036" t="s">
        <v>4351</v>
      </c>
      <c r="E1360" s="2036" t="s">
        <v>435</v>
      </c>
      <c r="F1360" s="2036">
        <v>2</v>
      </c>
      <c r="G1360" s="2036">
        <v>3761100</v>
      </c>
      <c r="H1360" s="2036">
        <f t="shared" si="88"/>
        <v>7522200</v>
      </c>
      <c r="I1360" s="1567">
        <v>2</v>
      </c>
      <c r="J1360" s="2036">
        <v>3799570</v>
      </c>
      <c r="K1360" s="2036">
        <f t="shared" si="89"/>
        <v>7599140</v>
      </c>
      <c r="L1360" s="1843">
        <f t="shared" si="87"/>
        <v>38470</v>
      </c>
      <c r="M1360" s="2036" t="s">
        <v>4672</v>
      </c>
      <c r="N1360" s="1733" t="s">
        <v>2977</v>
      </c>
    </row>
    <row r="1361" spans="1:14">
      <c r="A1361" s="1488">
        <v>1150</v>
      </c>
      <c r="B1361" s="2036">
        <v>33</v>
      </c>
      <c r="C1361" s="2036" t="s">
        <v>4674</v>
      </c>
      <c r="D1361" s="2036" t="s">
        <v>3035</v>
      </c>
      <c r="E1361" s="2036" t="s">
        <v>435</v>
      </c>
      <c r="F1361" s="2036">
        <v>5</v>
      </c>
      <c r="G1361" s="2036">
        <v>5277300</v>
      </c>
      <c r="H1361" s="2036">
        <f t="shared" si="88"/>
        <v>26386500</v>
      </c>
      <c r="I1361" s="1567">
        <v>5</v>
      </c>
      <c r="J1361" s="2036">
        <v>5330740</v>
      </c>
      <c r="K1361" s="2036">
        <f t="shared" si="89"/>
        <v>26653700</v>
      </c>
      <c r="L1361" s="1843">
        <f t="shared" si="87"/>
        <v>53440</v>
      </c>
      <c r="M1361" s="2036" t="s">
        <v>4672</v>
      </c>
      <c r="N1361" s="1733" t="s">
        <v>2977</v>
      </c>
    </row>
    <row r="1362" spans="1:14">
      <c r="A1362" s="1488">
        <v>1151</v>
      </c>
      <c r="B1362" s="2036">
        <v>34</v>
      </c>
      <c r="C1362" s="2036" t="s">
        <v>4675</v>
      </c>
      <c r="D1362" s="2036" t="s">
        <v>4351</v>
      </c>
      <c r="E1362" s="2036" t="s">
        <v>435</v>
      </c>
      <c r="F1362" s="2036">
        <v>1</v>
      </c>
      <c r="G1362" s="2036">
        <v>3761100</v>
      </c>
      <c r="H1362" s="2036">
        <f t="shared" si="88"/>
        <v>3761100</v>
      </c>
      <c r="I1362" s="1567">
        <v>1</v>
      </c>
      <c r="J1362" s="2036">
        <v>3799570</v>
      </c>
      <c r="K1362" s="2036">
        <f t="shared" si="89"/>
        <v>3799570</v>
      </c>
      <c r="L1362" s="1843">
        <f t="shared" si="87"/>
        <v>38470</v>
      </c>
      <c r="M1362" s="2036" t="s">
        <v>4672</v>
      </c>
      <c r="N1362" s="1733" t="s">
        <v>2977</v>
      </c>
    </row>
    <row r="1363" spans="1:14">
      <c r="A1363" s="1488">
        <v>1152</v>
      </c>
      <c r="B1363" s="2036">
        <v>35</v>
      </c>
      <c r="C1363" s="2036" t="s">
        <v>4676</v>
      </c>
      <c r="D1363" s="2036" t="s">
        <v>3035</v>
      </c>
      <c r="E1363" s="2036" t="s">
        <v>435</v>
      </c>
      <c r="F1363" s="2036">
        <v>2</v>
      </c>
      <c r="G1363" s="2036">
        <v>5894700</v>
      </c>
      <c r="H1363" s="2036">
        <f t="shared" si="88"/>
        <v>11789400</v>
      </c>
      <c r="I1363" s="1567">
        <v>2</v>
      </c>
      <c r="J1363" s="2036">
        <v>5954550</v>
      </c>
      <c r="K1363" s="2036">
        <f t="shared" si="89"/>
        <v>11909100</v>
      </c>
      <c r="L1363" s="1843">
        <f t="shared" si="87"/>
        <v>59850</v>
      </c>
      <c r="M1363" s="2036" t="s">
        <v>4634</v>
      </c>
      <c r="N1363" s="1733" t="s">
        <v>2977</v>
      </c>
    </row>
    <row r="1364" spans="1:14">
      <c r="A1364" s="1488">
        <v>1153</v>
      </c>
      <c r="B1364" s="2036">
        <v>36</v>
      </c>
      <c r="C1364" s="2036" t="s">
        <v>4677</v>
      </c>
      <c r="D1364" s="2036" t="s">
        <v>3035</v>
      </c>
      <c r="E1364" s="2036" t="s">
        <v>435</v>
      </c>
      <c r="F1364" s="2036">
        <v>2</v>
      </c>
      <c r="G1364" s="2036">
        <v>11312700</v>
      </c>
      <c r="H1364" s="2036">
        <f t="shared" si="88"/>
        <v>22625400</v>
      </c>
      <c r="I1364" s="1567">
        <v>2</v>
      </c>
      <c r="J1364" s="2036">
        <v>11427065</v>
      </c>
      <c r="K1364" s="2036">
        <f t="shared" si="89"/>
        <v>22854130</v>
      </c>
      <c r="L1364" s="1843">
        <f t="shared" si="87"/>
        <v>114365</v>
      </c>
      <c r="M1364" s="2036" t="s">
        <v>4634</v>
      </c>
      <c r="N1364" s="1733" t="s">
        <v>2977</v>
      </c>
    </row>
    <row r="1365" spans="1:14">
      <c r="A1365" s="1488">
        <v>1154</v>
      </c>
      <c r="B1365" s="2036">
        <v>37</v>
      </c>
      <c r="C1365" s="2036" t="s">
        <v>4678</v>
      </c>
      <c r="D1365" s="2036" t="s">
        <v>4368</v>
      </c>
      <c r="E1365" s="2036" t="s">
        <v>435</v>
      </c>
      <c r="F1365" s="2036">
        <v>1</v>
      </c>
      <c r="G1365" s="2036">
        <v>9403800</v>
      </c>
      <c r="H1365" s="2036">
        <f t="shared" si="88"/>
        <v>9403800</v>
      </c>
      <c r="I1365" s="1567">
        <v>1</v>
      </c>
      <c r="J1365" s="2036">
        <v>9498925</v>
      </c>
      <c r="K1365" s="2036">
        <f t="shared" si="89"/>
        <v>9498925</v>
      </c>
      <c r="L1365" s="1843">
        <f t="shared" si="87"/>
        <v>95125</v>
      </c>
      <c r="M1365" s="2036" t="s">
        <v>4634</v>
      </c>
      <c r="N1365" s="1733" t="s">
        <v>2977</v>
      </c>
    </row>
    <row r="1366" spans="1:14">
      <c r="A1366" s="1488">
        <v>1155</v>
      </c>
      <c r="B1366" s="2036">
        <v>38</v>
      </c>
      <c r="C1366" s="2036" t="s">
        <v>4679</v>
      </c>
      <c r="D1366" s="2036" t="s">
        <v>3035</v>
      </c>
      <c r="E1366" s="2036" t="s">
        <v>435</v>
      </c>
      <c r="F1366" s="2036">
        <v>2</v>
      </c>
      <c r="G1366" s="2036">
        <v>22597050</v>
      </c>
      <c r="H1366" s="2036">
        <f t="shared" si="88"/>
        <v>45194100</v>
      </c>
      <c r="I1366" s="1567">
        <v>2</v>
      </c>
      <c r="J1366" s="2036">
        <v>22825775</v>
      </c>
      <c r="K1366" s="2036">
        <f t="shared" si="89"/>
        <v>45651550</v>
      </c>
      <c r="L1366" s="1843">
        <f t="shared" si="87"/>
        <v>228725</v>
      </c>
      <c r="M1366" s="2036" t="s">
        <v>4634</v>
      </c>
      <c r="N1366" s="1733" t="s">
        <v>2977</v>
      </c>
    </row>
    <row r="1367" spans="1:14">
      <c r="A1367" s="1488">
        <v>1156</v>
      </c>
      <c r="B1367" s="2036">
        <v>39</v>
      </c>
      <c r="C1367" s="2036" t="s">
        <v>4680</v>
      </c>
      <c r="D1367" s="2036" t="s">
        <v>4368</v>
      </c>
      <c r="E1367" s="2036" t="s">
        <v>435</v>
      </c>
      <c r="F1367" s="2036">
        <v>1</v>
      </c>
      <c r="G1367" s="2036">
        <v>9403800</v>
      </c>
      <c r="H1367" s="2036">
        <f t="shared" si="88"/>
        <v>9403800</v>
      </c>
      <c r="I1367" s="1567">
        <v>1</v>
      </c>
      <c r="J1367" s="2036">
        <v>9498925</v>
      </c>
      <c r="K1367" s="2036">
        <f t="shared" si="89"/>
        <v>9498925</v>
      </c>
      <c r="L1367" s="1843">
        <f t="shared" si="87"/>
        <v>95125</v>
      </c>
      <c r="M1367" s="2036" t="s">
        <v>4634</v>
      </c>
      <c r="N1367" s="1733" t="s">
        <v>2977</v>
      </c>
    </row>
    <row r="1368" spans="1:14">
      <c r="A1368" s="1488">
        <v>1157</v>
      </c>
      <c r="B1368" s="2036">
        <v>40</v>
      </c>
      <c r="C1368" s="2036" t="s">
        <v>4681</v>
      </c>
      <c r="D1368" s="2036" t="s">
        <v>4368</v>
      </c>
      <c r="E1368" s="2036" t="s">
        <v>435</v>
      </c>
      <c r="F1368" s="2036">
        <v>1</v>
      </c>
      <c r="G1368" s="2036">
        <v>15074850</v>
      </c>
      <c r="H1368" s="2036">
        <f t="shared" si="88"/>
        <v>15074850</v>
      </c>
      <c r="I1368" s="1567">
        <v>1</v>
      </c>
      <c r="J1368" s="2036">
        <v>15226635</v>
      </c>
      <c r="K1368" s="2036">
        <f t="shared" si="89"/>
        <v>15226635</v>
      </c>
      <c r="L1368" s="1843">
        <f t="shared" si="87"/>
        <v>151785</v>
      </c>
      <c r="M1368" s="2036" t="s">
        <v>4634</v>
      </c>
      <c r="N1368" s="1733" t="s">
        <v>2977</v>
      </c>
    </row>
    <row r="1369" spans="1:14">
      <c r="A1369" s="1488">
        <v>1158</v>
      </c>
      <c r="B1369" s="2036">
        <v>41</v>
      </c>
      <c r="C1369" s="2036" t="s">
        <v>4682</v>
      </c>
      <c r="D1369" s="2036" t="s">
        <v>3035</v>
      </c>
      <c r="E1369" s="2036" t="s">
        <v>435</v>
      </c>
      <c r="F1369" s="2036">
        <v>2</v>
      </c>
      <c r="G1369" s="2036">
        <v>4897200</v>
      </c>
      <c r="H1369" s="2036">
        <f t="shared" si="88"/>
        <v>9794400</v>
      </c>
      <c r="I1369" s="1567">
        <v>2</v>
      </c>
      <c r="J1369" s="2036">
        <v>4946610</v>
      </c>
      <c r="K1369" s="2036">
        <f t="shared" si="89"/>
        <v>9893220</v>
      </c>
      <c r="L1369" s="1843">
        <f t="shared" si="87"/>
        <v>49410</v>
      </c>
      <c r="M1369" s="2036" t="s">
        <v>4653</v>
      </c>
      <c r="N1369" s="1733" t="s">
        <v>2977</v>
      </c>
    </row>
    <row r="1370" spans="1:14">
      <c r="A1370" s="1488">
        <v>1159</v>
      </c>
      <c r="B1370" s="2036">
        <v>42</v>
      </c>
      <c r="C1370" s="2036" t="s">
        <v>4683</v>
      </c>
      <c r="D1370" s="2036" t="s">
        <v>4425</v>
      </c>
      <c r="E1370" s="2036" t="s">
        <v>435</v>
      </c>
      <c r="F1370" s="2036">
        <v>1</v>
      </c>
      <c r="G1370" s="2036">
        <v>3264450</v>
      </c>
      <c r="H1370" s="2036">
        <f t="shared" si="88"/>
        <v>3264450</v>
      </c>
      <c r="I1370" s="1567">
        <v>1</v>
      </c>
      <c r="J1370" s="2036">
        <v>3297740</v>
      </c>
      <c r="K1370" s="2036">
        <f t="shared" si="89"/>
        <v>3297740</v>
      </c>
      <c r="L1370" s="1843">
        <f t="shared" si="87"/>
        <v>33290</v>
      </c>
      <c r="M1370" s="2036" t="s">
        <v>4653</v>
      </c>
      <c r="N1370" s="1733" t="s">
        <v>2977</v>
      </c>
    </row>
    <row r="1371" spans="1:14">
      <c r="A1371" s="1488">
        <v>1160</v>
      </c>
      <c r="B1371" s="2036">
        <v>43</v>
      </c>
      <c r="C1371" s="2036" t="s">
        <v>4684</v>
      </c>
      <c r="D1371" s="2036" t="s">
        <v>3035</v>
      </c>
      <c r="E1371" s="2036" t="s">
        <v>435</v>
      </c>
      <c r="F1371" s="2036">
        <v>2</v>
      </c>
      <c r="G1371" s="2036">
        <v>4897200</v>
      </c>
      <c r="H1371" s="2036">
        <f t="shared" si="88"/>
        <v>9794400</v>
      </c>
      <c r="I1371" s="1567">
        <v>2</v>
      </c>
      <c r="J1371" s="2036">
        <v>4946610</v>
      </c>
      <c r="K1371" s="2036">
        <f t="shared" si="89"/>
        <v>9893220</v>
      </c>
      <c r="L1371" s="1843">
        <f t="shared" si="87"/>
        <v>49410</v>
      </c>
      <c r="M1371" s="2036" t="s">
        <v>4653</v>
      </c>
      <c r="N1371" s="1733" t="s">
        <v>2977</v>
      </c>
    </row>
    <row r="1372" spans="1:14">
      <c r="A1372" s="1488">
        <v>1161</v>
      </c>
      <c r="B1372" s="2036">
        <v>44</v>
      </c>
      <c r="C1372" s="2036" t="s">
        <v>4685</v>
      </c>
      <c r="D1372" s="2036" t="s">
        <v>4425</v>
      </c>
      <c r="E1372" s="2036" t="s">
        <v>435</v>
      </c>
      <c r="F1372" s="2036">
        <v>1</v>
      </c>
      <c r="G1372" s="2036">
        <v>3264450</v>
      </c>
      <c r="H1372" s="2036">
        <f t="shared" si="88"/>
        <v>3264450</v>
      </c>
      <c r="I1372" s="1567">
        <v>1</v>
      </c>
      <c r="J1372" s="2036">
        <v>3297740</v>
      </c>
      <c r="K1372" s="2036">
        <f t="shared" si="89"/>
        <v>3297740</v>
      </c>
      <c r="L1372" s="1843">
        <f t="shared" si="87"/>
        <v>33290</v>
      </c>
      <c r="M1372" s="2036" t="s">
        <v>4653</v>
      </c>
      <c r="N1372" s="1733" t="s">
        <v>2977</v>
      </c>
    </row>
    <row r="1373" spans="1:14">
      <c r="A1373" s="1488">
        <v>1162</v>
      </c>
      <c r="B1373" s="2036">
        <v>45</v>
      </c>
      <c r="C1373" s="2036" t="s">
        <v>4686</v>
      </c>
      <c r="D1373" s="2036" t="s">
        <v>3035</v>
      </c>
      <c r="E1373" s="2036" t="s">
        <v>435</v>
      </c>
      <c r="F1373" s="2036">
        <v>2</v>
      </c>
      <c r="G1373" s="2036">
        <v>4897200</v>
      </c>
      <c r="H1373" s="2036">
        <f t="shared" si="88"/>
        <v>9794400</v>
      </c>
      <c r="I1373" s="1567">
        <v>2</v>
      </c>
      <c r="J1373" s="2036">
        <v>4946610</v>
      </c>
      <c r="K1373" s="2036">
        <f t="shared" si="89"/>
        <v>9893220</v>
      </c>
      <c r="L1373" s="1843">
        <f t="shared" si="87"/>
        <v>49410</v>
      </c>
      <c r="M1373" s="2036" t="s">
        <v>4653</v>
      </c>
      <c r="N1373" s="1733" t="s">
        <v>2977</v>
      </c>
    </row>
    <row r="1374" spans="1:14">
      <c r="A1374" s="1488">
        <v>1163</v>
      </c>
      <c r="B1374" s="2036">
        <v>46</v>
      </c>
      <c r="C1374" s="2036" t="s">
        <v>4687</v>
      </c>
      <c r="D1374" s="2036" t="s">
        <v>4425</v>
      </c>
      <c r="E1374" s="2036" t="s">
        <v>435</v>
      </c>
      <c r="F1374" s="2036">
        <v>1</v>
      </c>
      <c r="G1374" s="2036">
        <v>3264450</v>
      </c>
      <c r="H1374" s="2036">
        <f t="shared" si="88"/>
        <v>3264450</v>
      </c>
      <c r="I1374" s="1567">
        <v>1</v>
      </c>
      <c r="J1374" s="2036">
        <v>3297740</v>
      </c>
      <c r="K1374" s="2036">
        <f t="shared" si="89"/>
        <v>3297740</v>
      </c>
      <c r="L1374" s="1843">
        <f t="shared" si="87"/>
        <v>33290</v>
      </c>
      <c r="M1374" s="2036" t="s">
        <v>4653</v>
      </c>
      <c r="N1374" s="1733" t="s">
        <v>2977</v>
      </c>
    </row>
    <row r="1375" spans="1:14">
      <c r="A1375" s="1488">
        <v>1164</v>
      </c>
      <c r="B1375" s="2036">
        <v>47</v>
      </c>
      <c r="C1375" s="2036" t="s">
        <v>4688</v>
      </c>
      <c r="D1375" s="2036" t="s">
        <v>3035</v>
      </c>
      <c r="E1375" s="2036" t="s">
        <v>435</v>
      </c>
      <c r="F1375" s="2036">
        <v>2</v>
      </c>
      <c r="G1375" s="2036">
        <v>4519200</v>
      </c>
      <c r="H1375" s="2036">
        <f t="shared" si="88"/>
        <v>9038400</v>
      </c>
      <c r="I1375" s="1567">
        <v>2</v>
      </c>
      <c r="J1375" s="2036">
        <v>4565155</v>
      </c>
      <c r="K1375" s="2036">
        <f t="shared" si="89"/>
        <v>9130310</v>
      </c>
      <c r="L1375" s="1843">
        <f t="shared" si="87"/>
        <v>45955</v>
      </c>
      <c r="M1375" s="2036" t="s">
        <v>4634</v>
      </c>
      <c r="N1375" s="1733" t="s">
        <v>2977</v>
      </c>
    </row>
    <row r="1376" spans="1:14">
      <c r="A1376" s="1488">
        <v>1165</v>
      </c>
      <c r="B1376" s="2036">
        <v>48</v>
      </c>
      <c r="C1376" s="2036" t="s">
        <v>4689</v>
      </c>
      <c r="D1376" s="2036" t="s">
        <v>3035</v>
      </c>
      <c r="E1376" s="2036" t="s">
        <v>435</v>
      </c>
      <c r="F1376" s="2036">
        <v>2</v>
      </c>
      <c r="G1376" s="2036">
        <v>4519200</v>
      </c>
      <c r="H1376" s="2036">
        <f t="shared" si="88"/>
        <v>9038400</v>
      </c>
      <c r="I1376" s="1567">
        <v>2</v>
      </c>
      <c r="J1376" s="2036">
        <v>4565155</v>
      </c>
      <c r="K1376" s="2036">
        <f t="shared" si="89"/>
        <v>9130310</v>
      </c>
      <c r="L1376" s="1843">
        <f t="shared" si="87"/>
        <v>45955</v>
      </c>
      <c r="M1376" s="2036" t="s">
        <v>4634</v>
      </c>
      <c r="N1376" s="1733" t="s">
        <v>2977</v>
      </c>
    </row>
    <row r="1377" spans="1:14">
      <c r="A1377" s="1488">
        <v>1166</v>
      </c>
      <c r="B1377" s="2036">
        <v>49</v>
      </c>
      <c r="C1377" s="2036" t="s">
        <v>4690</v>
      </c>
      <c r="D1377" s="2036" t="s">
        <v>3035</v>
      </c>
      <c r="E1377" s="2036" t="s">
        <v>435</v>
      </c>
      <c r="F1377" s="2036">
        <v>10</v>
      </c>
      <c r="G1377" s="2036">
        <v>4519200</v>
      </c>
      <c r="H1377" s="2036">
        <f t="shared" si="88"/>
        <v>45192000</v>
      </c>
      <c r="I1377" s="1567">
        <v>10</v>
      </c>
      <c r="J1377" s="2036">
        <v>4565155</v>
      </c>
      <c r="K1377" s="2036">
        <f t="shared" si="89"/>
        <v>45651550</v>
      </c>
      <c r="L1377" s="1843">
        <f t="shared" si="87"/>
        <v>45955</v>
      </c>
      <c r="M1377" s="2036" t="s">
        <v>4634</v>
      </c>
      <c r="N1377" s="1733" t="s">
        <v>2977</v>
      </c>
    </row>
    <row r="1378" spans="1:14">
      <c r="A1378" s="1488">
        <v>1167</v>
      </c>
      <c r="B1378" s="2036">
        <v>50</v>
      </c>
      <c r="C1378" s="2036" t="s">
        <v>4691</v>
      </c>
      <c r="D1378" s="2036" t="s">
        <v>3035</v>
      </c>
      <c r="E1378" s="2036" t="s">
        <v>435</v>
      </c>
      <c r="F1378" s="2036">
        <v>2</v>
      </c>
      <c r="G1378" s="2036">
        <v>5277300</v>
      </c>
      <c r="H1378" s="2036">
        <f t="shared" si="88"/>
        <v>10554600</v>
      </c>
      <c r="I1378" s="1567">
        <v>2</v>
      </c>
      <c r="J1378" s="2036">
        <v>5330740</v>
      </c>
      <c r="K1378" s="2036">
        <f t="shared" si="89"/>
        <v>10661480</v>
      </c>
      <c r="L1378" s="1843">
        <f t="shared" si="87"/>
        <v>53440</v>
      </c>
      <c r="M1378" s="2036" t="s">
        <v>4634</v>
      </c>
      <c r="N1378" s="1733" t="s">
        <v>2977</v>
      </c>
    </row>
    <row r="1379" spans="1:14">
      <c r="A1379" s="1488">
        <v>1168</v>
      </c>
      <c r="B1379" s="2036">
        <v>51</v>
      </c>
      <c r="C1379" s="2036" t="s">
        <v>4692</v>
      </c>
      <c r="D1379" s="2036" t="s">
        <v>4693</v>
      </c>
      <c r="E1379" s="2036" t="s">
        <v>435</v>
      </c>
      <c r="F1379" s="2036">
        <v>1</v>
      </c>
      <c r="G1379" s="2036">
        <v>3761100</v>
      </c>
      <c r="H1379" s="2036">
        <f t="shared" si="88"/>
        <v>3761100</v>
      </c>
      <c r="I1379" s="1567">
        <v>1</v>
      </c>
      <c r="J1379" s="2036">
        <v>3799570</v>
      </c>
      <c r="K1379" s="2036">
        <f t="shared" si="89"/>
        <v>3799570</v>
      </c>
      <c r="L1379" s="1843">
        <f t="shared" si="87"/>
        <v>38470</v>
      </c>
      <c r="M1379" s="2036" t="s">
        <v>4634</v>
      </c>
      <c r="N1379" s="1733" t="s">
        <v>2977</v>
      </c>
    </row>
    <row r="1380" spans="1:14">
      <c r="A1380" s="1488">
        <v>1169</v>
      </c>
      <c r="B1380" s="2036">
        <v>52</v>
      </c>
      <c r="C1380" s="2036" t="s">
        <v>4694</v>
      </c>
      <c r="D1380" s="2036" t="s">
        <v>3035</v>
      </c>
      <c r="E1380" s="2036" t="s">
        <v>435</v>
      </c>
      <c r="F1380" s="2036">
        <v>2</v>
      </c>
      <c r="G1380" s="2036">
        <v>5894700</v>
      </c>
      <c r="H1380" s="2036">
        <f t="shared" si="88"/>
        <v>11789400</v>
      </c>
      <c r="I1380" s="1567">
        <v>2</v>
      </c>
      <c r="J1380" s="2036">
        <v>5954550</v>
      </c>
      <c r="K1380" s="2036">
        <f t="shared" si="89"/>
        <v>11909100</v>
      </c>
      <c r="L1380" s="1843">
        <f t="shared" si="87"/>
        <v>59850</v>
      </c>
      <c r="M1380" s="2036" t="s">
        <v>4634</v>
      </c>
      <c r="N1380" s="1733" t="s">
        <v>2977</v>
      </c>
    </row>
    <row r="1381" spans="1:14">
      <c r="A1381" s="1488">
        <v>1170</v>
      </c>
      <c r="B1381" s="2036">
        <v>53</v>
      </c>
      <c r="C1381" s="2036" t="s">
        <v>4695</v>
      </c>
      <c r="D1381" s="2036" t="s">
        <v>3035</v>
      </c>
      <c r="E1381" s="2036" t="s">
        <v>435</v>
      </c>
      <c r="F1381" s="2036">
        <v>2</v>
      </c>
      <c r="G1381" s="2036">
        <v>8281350</v>
      </c>
      <c r="H1381" s="2036">
        <f t="shared" si="88"/>
        <v>16562700</v>
      </c>
      <c r="I1381" s="1567">
        <v>2</v>
      </c>
      <c r="J1381" s="2036">
        <v>8364725.0000000009</v>
      </c>
      <c r="K1381" s="2036">
        <f t="shared" si="89"/>
        <v>16729450.000000002</v>
      </c>
      <c r="L1381" s="1843">
        <f t="shared" si="87"/>
        <v>83375.000000000931</v>
      </c>
      <c r="M1381" s="2036" t="s">
        <v>4634</v>
      </c>
      <c r="N1381" s="1733" t="s">
        <v>2977</v>
      </c>
    </row>
    <row r="1382" spans="1:14">
      <c r="A1382" s="1488">
        <v>1171</v>
      </c>
      <c r="B1382" s="2036">
        <v>54</v>
      </c>
      <c r="C1382" s="2036" t="s">
        <v>4696</v>
      </c>
      <c r="D1382" s="2036" t="s">
        <v>4697</v>
      </c>
      <c r="E1382" s="2036" t="s">
        <v>435</v>
      </c>
      <c r="F1382" s="2036">
        <v>15</v>
      </c>
      <c r="G1382" s="2036">
        <v>5557650</v>
      </c>
      <c r="H1382" s="2036">
        <f t="shared" si="88"/>
        <v>83364750</v>
      </c>
      <c r="I1382" s="1567">
        <v>15</v>
      </c>
      <c r="J1382" s="2036">
        <v>5614290</v>
      </c>
      <c r="K1382" s="2036">
        <f t="shared" si="89"/>
        <v>84214350</v>
      </c>
      <c r="L1382" s="1843">
        <f t="shared" si="87"/>
        <v>56640</v>
      </c>
      <c r="M1382" s="2036" t="s">
        <v>4653</v>
      </c>
      <c r="N1382" s="1733" t="s">
        <v>2977</v>
      </c>
    </row>
    <row r="1383" spans="1:14">
      <c r="A1383" s="1488">
        <v>1172</v>
      </c>
      <c r="B1383" s="2036">
        <v>55</v>
      </c>
      <c r="C1383" s="2036" t="s">
        <v>4698</v>
      </c>
      <c r="D1383" s="2036" t="s">
        <v>4699</v>
      </c>
      <c r="E1383" s="2036" t="s">
        <v>435</v>
      </c>
      <c r="F1383" s="2036">
        <v>2</v>
      </c>
      <c r="G1383" s="2036">
        <v>1347150</v>
      </c>
      <c r="H1383" s="2036">
        <f t="shared" si="88"/>
        <v>2694300</v>
      </c>
      <c r="I1383" s="1567">
        <v>2</v>
      </c>
      <c r="J1383" s="2036">
        <v>1361040</v>
      </c>
      <c r="K1383" s="2036">
        <f t="shared" si="89"/>
        <v>2722080</v>
      </c>
      <c r="L1383" s="1843">
        <f t="shared" si="87"/>
        <v>13890</v>
      </c>
      <c r="M1383" s="2036" t="s">
        <v>4634</v>
      </c>
      <c r="N1383" s="1733" t="s">
        <v>2977</v>
      </c>
    </row>
    <row r="1384" spans="1:14" ht="45.75">
      <c r="A1384" s="1488">
        <v>1173</v>
      </c>
      <c r="B1384" s="2036">
        <v>56</v>
      </c>
      <c r="C1384" s="2036" t="s">
        <v>4700</v>
      </c>
      <c r="D1384" s="1494" t="s">
        <v>4701</v>
      </c>
      <c r="E1384" s="2036" t="s">
        <v>435</v>
      </c>
      <c r="F1384" s="2036">
        <v>2</v>
      </c>
      <c r="G1384" s="2036">
        <v>3088050</v>
      </c>
      <c r="H1384" s="2036">
        <f t="shared" si="88"/>
        <v>6176100</v>
      </c>
      <c r="I1384" s="1567">
        <v>2</v>
      </c>
      <c r="J1384" s="2036">
        <v>3119050</v>
      </c>
      <c r="K1384" s="2036">
        <f t="shared" si="89"/>
        <v>6238100</v>
      </c>
      <c r="L1384" s="1843">
        <f t="shared" si="87"/>
        <v>31000</v>
      </c>
      <c r="M1384" s="2036" t="s">
        <v>4634</v>
      </c>
      <c r="N1384" s="1733" t="s">
        <v>2977</v>
      </c>
    </row>
    <row r="1385" spans="1:14">
      <c r="A1385" s="1488">
        <v>1174</v>
      </c>
      <c r="B1385" s="2036">
        <v>57</v>
      </c>
      <c r="C1385" s="2036" t="s">
        <v>4702</v>
      </c>
      <c r="D1385" s="2036" t="s">
        <v>4703</v>
      </c>
      <c r="E1385" s="2036" t="s">
        <v>435</v>
      </c>
      <c r="F1385" s="2036">
        <v>12</v>
      </c>
      <c r="G1385" s="2036">
        <v>3031350</v>
      </c>
      <c r="H1385" s="2036">
        <f t="shared" si="88"/>
        <v>36376200</v>
      </c>
      <c r="I1385" s="1567">
        <v>12</v>
      </c>
      <c r="J1385" s="2036">
        <v>3062340</v>
      </c>
      <c r="K1385" s="2036">
        <f t="shared" si="89"/>
        <v>36748080</v>
      </c>
      <c r="L1385" s="1843">
        <f t="shared" si="87"/>
        <v>30990</v>
      </c>
      <c r="M1385" s="2036" t="s">
        <v>4672</v>
      </c>
      <c r="N1385" s="1733" t="s">
        <v>2977</v>
      </c>
    </row>
    <row r="1386" spans="1:14">
      <c r="A1386" s="1488">
        <v>1175</v>
      </c>
      <c r="B1386" s="2036">
        <v>58</v>
      </c>
      <c r="C1386" s="2036" t="s">
        <v>4704</v>
      </c>
      <c r="D1386" s="2036" t="s">
        <v>4705</v>
      </c>
      <c r="E1386" s="2036" t="s">
        <v>435</v>
      </c>
      <c r="F1386" s="2036">
        <v>4</v>
      </c>
      <c r="G1386" s="2036">
        <v>24366100</v>
      </c>
      <c r="H1386" s="2036">
        <f t="shared" si="88"/>
        <v>97464400</v>
      </c>
      <c r="I1386" s="1567">
        <v>4</v>
      </c>
      <c r="J1386" s="2036">
        <v>24612140</v>
      </c>
      <c r="K1386" s="2036">
        <f t="shared" si="89"/>
        <v>98448560</v>
      </c>
      <c r="L1386" s="1843">
        <f t="shared" si="87"/>
        <v>246040</v>
      </c>
      <c r="M1386" s="2036" t="s">
        <v>4634</v>
      </c>
      <c r="N1386" s="1733" t="s">
        <v>2977</v>
      </c>
    </row>
    <row r="1387" spans="1:14">
      <c r="A1387" s="1488">
        <v>1176</v>
      </c>
      <c r="B1387" s="2036">
        <v>59</v>
      </c>
      <c r="C1387" s="2036" t="s">
        <v>4706</v>
      </c>
      <c r="D1387" s="2036" t="s">
        <v>4707</v>
      </c>
      <c r="E1387" s="2036" t="s">
        <v>435</v>
      </c>
      <c r="F1387" s="2036">
        <v>8</v>
      </c>
      <c r="G1387" s="2036">
        <v>11594000</v>
      </c>
      <c r="H1387" s="2036">
        <f t="shared" si="88"/>
        <v>92752000</v>
      </c>
      <c r="I1387" s="1567">
        <v>8</v>
      </c>
      <c r="J1387" s="2036">
        <v>11710615</v>
      </c>
      <c r="K1387" s="2048">
        <f t="shared" si="89"/>
        <v>93684920</v>
      </c>
      <c r="L1387" s="1843">
        <f t="shared" si="87"/>
        <v>116615</v>
      </c>
      <c r="M1387" s="2048" t="s">
        <v>4672</v>
      </c>
      <c r="N1387" s="1737" t="s">
        <v>2977</v>
      </c>
    </row>
    <row r="1388" spans="1:14">
      <c r="A1388" s="1501"/>
      <c r="B1388" s="1502"/>
      <c r="C1388" s="1722" t="s">
        <v>4613</v>
      </c>
      <c r="D1388" s="1536"/>
      <c r="E1388" s="1536"/>
      <c r="F1388" s="1738"/>
      <c r="G1388" s="1738"/>
      <c r="H1388" s="1547">
        <f>SUM(H1329:H1387)</f>
        <v>2420094050</v>
      </c>
      <c r="I1388" s="1825"/>
      <c r="J1388" s="1583"/>
      <c r="K1388" s="1547">
        <f>SUM(K1329:K1387)</f>
        <v>2444511300</v>
      </c>
      <c r="L1388" s="1547"/>
      <c r="M1388" s="1510"/>
      <c r="N1388" s="1511"/>
    </row>
    <row r="1389" spans="1:14">
      <c r="A1389" s="1512"/>
      <c r="B1389" s="1513"/>
      <c r="C1389" s="1911"/>
      <c r="D1389" s="1515"/>
      <c r="E1389" s="1515"/>
      <c r="F1389" s="1589"/>
      <c r="G1389" s="1589"/>
      <c r="H1389" s="1589"/>
      <c r="I1389" s="1858"/>
      <c r="J1389" s="1585"/>
      <c r="K1389" s="1516"/>
      <c r="L1389" s="1516"/>
    </row>
    <row r="1390" spans="1:14">
      <c r="A1390" s="2252" t="s">
        <v>4708</v>
      </c>
      <c r="B1390" s="2252"/>
      <c r="C1390" s="2252"/>
      <c r="D1390" s="2252"/>
      <c r="E1390" s="2252"/>
      <c r="F1390" s="2252"/>
      <c r="G1390" s="2252"/>
      <c r="H1390" s="2252"/>
      <c r="I1390" s="2252"/>
      <c r="J1390" s="2252"/>
      <c r="K1390" s="2252"/>
      <c r="L1390" s="2049"/>
    </row>
    <row r="1391" spans="1:14">
      <c r="A1391" s="2045"/>
      <c r="B1391" s="2045"/>
      <c r="C1391" s="2050"/>
      <c r="D1391" s="2046"/>
      <c r="E1391" s="2045"/>
      <c r="F1391" s="1590"/>
      <c r="G1391" s="1590"/>
      <c r="H1391" s="1590"/>
      <c r="I1391" s="2047"/>
      <c r="J1391" s="1590"/>
      <c r="K1391" s="1590"/>
      <c r="L1391" s="1590"/>
    </row>
    <row r="1392" spans="1:14" ht="27">
      <c r="A1392" s="2245" t="s">
        <v>2901</v>
      </c>
      <c r="B1392" s="2253" t="s">
        <v>2902</v>
      </c>
      <c r="C1392" s="2254" t="s">
        <v>2607</v>
      </c>
      <c r="D1392" s="2255" t="s">
        <v>2608</v>
      </c>
      <c r="E1392" s="2256" t="s">
        <v>2609</v>
      </c>
      <c r="F1392" s="2205" t="s">
        <v>2903</v>
      </c>
      <c r="G1392" s="2206"/>
      <c r="H1392" s="2207"/>
      <c r="I1392" s="2205" t="s">
        <v>2904</v>
      </c>
      <c r="J1392" s="2206"/>
      <c r="K1392" s="2207"/>
      <c r="L1392" s="1476" t="s">
        <v>2905</v>
      </c>
      <c r="M1392" s="2197" t="s">
        <v>2906</v>
      </c>
      <c r="N1392" s="2208" t="s">
        <v>2907</v>
      </c>
    </row>
    <row r="1393" spans="1:14">
      <c r="A1393" s="2245"/>
      <c r="B1393" s="2253"/>
      <c r="C1393" s="2254"/>
      <c r="D1393" s="2255"/>
      <c r="E1393" s="2256"/>
      <c r="F1393" s="1477" t="s">
        <v>2908</v>
      </c>
      <c r="G1393" s="1476" t="s">
        <v>2611</v>
      </c>
      <c r="H1393" s="1478" t="s">
        <v>2612</v>
      </c>
      <c r="I1393" s="1477" t="s">
        <v>2908</v>
      </c>
      <c r="J1393" s="1476" t="s">
        <v>2611</v>
      </c>
      <c r="K1393" s="1478" t="s">
        <v>2612</v>
      </c>
      <c r="L1393" s="1865"/>
      <c r="M1393" s="2198"/>
      <c r="N1393" s="2209"/>
    </row>
    <row r="1394" spans="1:14" s="2055" customFormat="1" ht="18">
      <c r="A1394" s="2051">
        <v>1177</v>
      </c>
      <c r="B1394" s="2052">
        <v>1</v>
      </c>
      <c r="C1394" s="2053" t="s">
        <v>4709</v>
      </c>
      <c r="D1394" s="2054" t="s">
        <v>4710</v>
      </c>
      <c r="E1394" s="2054" t="s">
        <v>192</v>
      </c>
      <c r="F1394" s="2036">
        <v>1600</v>
      </c>
      <c r="G1394" s="2036">
        <v>70350</v>
      </c>
      <c r="H1394" s="2036">
        <f>F1394*G1394</f>
        <v>112560000</v>
      </c>
      <c r="I1394" s="2036">
        <v>1600</v>
      </c>
      <c r="J1394" s="2036">
        <v>71000</v>
      </c>
      <c r="K1394" s="2036">
        <f>I1394*J1394</f>
        <v>113600000</v>
      </c>
      <c r="L1394" s="2036">
        <f t="shared" ref="L1394:L1401" si="90">J1394-G1394</f>
        <v>650</v>
      </c>
      <c r="M1394" s="2036" t="s">
        <v>4711</v>
      </c>
      <c r="N1394" s="1733" t="s">
        <v>4712</v>
      </c>
    </row>
    <row r="1395" spans="1:14" s="2055" customFormat="1" ht="18">
      <c r="A1395" s="2056">
        <v>1178</v>
      </c>
      <c r="B1395" s="2057">
        <v>2</v>
      </c>
      <c r="C1395" s="2058" t="s">
        <v>4713</v>
      </c>
      <c r="D1395" s="1529" t="s">
        <v>4714</v>
      </c>
      <c r="E1395" s="1529" t="s">
        <v>1318</v>
      </c>
      <c r="F1395" s="2036">
        <v>20000</v>
      </c>
      <c r="G1395" s="2036">
        <v>10500</v>
      </c>
      <c r="H1395" s="2036">
        <f t="shared" ref="H1395:H1401" si="91">F1395*G1395</f>
        <v>210000000</v>
      </c>
      <c r="I1395" s="2036">
        <v>20000</v>
      </c>
      <c r="J1395" s="2036">
        <v>12000</v>
      </c>
      <c r="K1395" s="2036">
        <f t="shared" ref="K1395:K1401" si="92">I1395*J1395</f>
        <v>240000000</v>
      </c>
      <c r="L1395" s="2036">
        <f t="shared" si="90"/>
        <v>1500</v>
      </c>
      <c r="M1395" s="2036" t="s">
        <v>4715</v>
      </c>
      <c r="N1395" s="1733" t="s">
        <v>4712</v>
      </c>
    </row>
    <row r="1396" spans="1:14" s="2055" customFormat="1" ht="18">
      <c r="A1396" s="2051">
        <v>1179</v>
      </c>
      <c r="B1396" s="2052">
        <v>3</v>
      </c>
      <c r="C1396" s="2058" t="s">
        <v>4716</v>
      </c>
      <c r="D1396" s="1529" t="s">
        <v>4717</v>
      </c>
      <c r="E1396" s="1529" t="s">
        <v>2967</v>
      </c>
      <c r="F1396" s="2036">
        <v>10000</v>
      </c>
      <c r="G1396" s="2036">
        <v>78750</v>
      </c>
      <c r="H1396" s="2036">
        <f t="shared" si="91"/>
        <v>787500000</v>
      </c>
      <c r="I1396" s="2036">
        <v>10000</v>
      </c>
      <c r="J1396" s="2036">
        <v>79000</v>
      </c>
      <c r="K1396" s="2036">
        <f t="shared" si="92"/>
        <v>790000000</v>
      </c>
      <c r="L1396" s="2036">
        <f t="shared" si="90"/>
        <v>250</v>
      </c>
      <c r="M1396" s="2036" t="s">
        <v>4718</v>
      </c>
      <c r="N1396" s="1733" t="s">
        <v>4712</v>
      </c>
    </row>
    <row r="1397" spans="1:14" s="2055" customFormat="1" ht="18">
      <c r="A1397" s="2056">
        <v>1180</v>
      </c>
      <c r="B1397" s="2057">
        <v>4</v>
      </c>
      <c r="C1397" s="2058" t="s">
        <v>4719</v>
      </c>
      <c r="D1397" s="1529" t="s">
        <v>4720</v>
      </c>
      <c r="E1397" s="1529" t="s">
        <v>2967</v>
      </c>
      <c r="F1397" s="2036">
        <v>10000</v>
      </c>
      <c r="G1397" s="2036">
        <v>64050</v>
      </c>
      <c r="H1397" s="2036">
        <f t="shared" si="91"/>
        <v>640500000</v>
      </c>
      <c r="I1397" s="2036">
        <v>10000</v>
      </c>
      <c r="J1397" s="2036">
        <v>65000</v>
      </c>
      <c r="K1397" s="2036">
        <f t="shared" si="92"/>
        <v>650000000</v>
      </c>
      <c r="L1397" s="2036">
        <f t="shared" si="90"/>
        <v>950</v>
      </c>
      <c r="M1397" s="2036" t="s">
        <v>4718</v>
      </c>
      <c r="N1397" s="1733" t="s">
        <v>4712</v>
      </c>
    </row>
    <row r="1398" spans="1:14" s="2055" customFormat="1" ht="18">
      <c r="A1398" s="2051">
        <v>1181</v>
      </c>
      <c r="B1398" s="2052">
        <v>5</v>
      </c>
      <c r="C1398" s="2058" t="s">
        <v>4721</v>
      </c>
      <c r="D1398" s="1529" t="s">
        <v>4722</v>
      </c>
      <c r="E1398" s="1529" t="s">
        <v>4723</v>
      </c>
      <c r="F1398" s="2036">
        <v>100</v>
      </c>
      <c r="G1398" s="2036">
        <v>357000</v>
      </c>
      <c r="H1398" s="2036">
        <f t="shared" si="91"/>
        <v>35700000</v>
      </c>
      <c r="I1398" s="2036">
        <v>100</v>
      </c>
      <c r="J1398" s="2036">
        <v>360000</v>
      </c>
      <c r="K1398" s="2036">
        <f t="shared" si="92"/>
        <v>36000000</v>
      </c>
      <c r="L1398" s="2036">
        <f t="shared" si="90"/>
        <v>3000</v>
      </c>
      <c r="M1398" s="2036" t="s">
        <v>4724</v>
      </c>
      <c r="N1398" s="1733" t="s">
        <v>4712</v>
      </c>
    </row>
    <row r="1399" spans="1:14" s="2055" customFormat="1" ht="18">
      <c r="A1399" s="2056">
        <v>1182</v>
      </c>
      <c r="B1399" s="2057">
        <v>6</v>
      </c>
      <c r="C1399" s="2058" t="s">
        <v>4725</v>
      </c>
      <c r="D1399" s="1529" t="s">
        <v>4722</v>
      </c>
      <c r="E1399" s="1529" t="s">
        <v>4723</v>
      </c>
      <c r="F1399" s="2036">
        <v>100</v>
      </c>
      <c r="G1399" s="2036">
        <v>357000</v>
      </c>
      <c r="H1399" s="2036">
        <f t="shared" si="91"/>
        <v>35700000</v>
      </c>
      <c r="I1399" s="2036">
        <v>100</v>
      </c>
      <c r="J1399" s="2036">
        <v>360000</v>
      </c>
      <c r="K1399" s="2036">
        <f t="shared" si="92"/>
        <v>36000000</v>
      </c>
      <c r="L1399" s="2036">
        <f t="shared" si="90"/>
        <v>3000</v>
      </c>
      <c r="M1399" s="2036" t="s">
        <v>4724</v>
      </c>
      <c r="N1399" s="1733" t="s">
        <v>4712</v>
      </c>
    </row>
    <row r="1400" spans="1:14" s="2055" customFormat="1" ht="18">
      <c r="A1400" s="2051">
        <v>1183</v>
      </c>
      <c r="B1400" s="2052">
        <v>7</v>
      </c>
      <c r="C1400" s="2058" t="s">
        <v>4726</v>
      </c>
      <c r="D1400" s="1529" t="s">
        <v>2944</v>
      </c>
      <c r="E1400" s="1529" t="s">
        <v>4727</v>
      </c>
      <c r="F1400" s="2036">
        <v>800</v>
      </c>
      <c r="G1400" s="2036">
        <v>348600</v>
      </c>
      <c r="H1400" s="2036">
        <f t="shared" si="91"/>
        <v>278880000</v>
      </c>
      <c r="I1400" s="2036">
        <v>800</v>
      </c>
      <c r="J1400" s="2036">
        <v>350000</v>
      </c>
      <c r="K1400" s="2036">
        <f t="shared" si="92"/>
        <v>280000000</v>
      </c>
      <c r="L1400" s="2036">
        <f t="shared" si="90"/>
        <v>1400</v>
      </c>
      <c r="M1400" s="2036" t="s">
        <v>4728</v>
      </c>
      <c r="N1400" s="1733" t="s">
        <v>4712</v>
      </c>
    </row>
    <row r="1401" spans="1:14" s="2055" customFormat="1" ht="18">
      <c r="A1401" s="2056">
        <v>1184</v>
      </c>
      <c r="B1401" s="2057">
        <v>8</v>
      </c>
      <c r="C1401" s="2058" t="s">
        <v>4729</v>
      </c>
      <c r="D1401" s="1529" t="s">
        <v>4730</v>
      </c>
      <c r="E1401" s="1529" t="s">
        <v>4727</v>
      </c>
      <c r="F1401" s="2036">
        <v>800</v>
      </c>
      <c r="G1401" s="2036">
        <v>329700</v>
      </c>
      <c r="H1401" s="2036">
        <f t="shared" si="91"/>
        <v>263760000</v>
      </c>
      <c r="I1401" s="2036">
        <v>800</v>
      </c>
      <c r="J1401" s="2048">
        <v>330000</v>
      </c>
      <c r="K1401" s="2048">
        <f t="shared" si="92"/>
        <v>264000000</v>
      </c>
      <c r="L1401" s="2048">
        <f t="shared" si="90"/>
        <v>300</v>
      </c>
      <c r="M1401" s="2048" t="s">
        <v>4728</v>
      </c>
      <c r="N1401" s="1737" t="s">
        <v>4712</v>
      </c>
    </row>
    <row r="1402" spans="1:14" s="2055" customFormat="1" ht="9">
      <c r="A1402" s="2059"/>
      <c r="B1402" s="2060"/>
      <c r="C1402" s="2061" t="s">
        <v>4613</v>
      </c>
      <c r="D1402" s="2060"/>
      <c r="E1402" s="2060"/>
      <c r="F1402" s="2060"/>
      <c r="G1402" s="2060"/>
      <c r="H1402" s="1547">
        <f>SUM(H1394:H1401)</f>
        <v>2364600000</v>
      </c>
      <c r="I1402" s="1667"/>
      <c r="J1402" s="1583"/>
      <c r="K1402" s="1547">
        <f>SUM(K1394:K1401)</f>
        <v>2409600000</v>
      </c>
      <c r="L1402" s="1547"/>
      <c r="M1402" s="2062"/>
      <c r="N1402" s="2063"/>
    </row>
    <row r="1403" spans="1:14">
      <c r="A1403" s="2045"/>
      <c r="B1403" s="2045"/>
      <c r="C1403" s="2046"/>
      <c r="D1403" s="2046"/>
      <c r="E1403" s="2045"/>
      <c r="F1403" s="1590"/>
      <c r="G1403" s="1590"/>
      <c r="H1403" s="1590"/>
      <c r="I1403" s="2047"/>
      <c r="J1403" s="1590"/>
      <c r="K1403" s="1590"/>
      <c r="L1403" s="1590"/>
    </row>
    <row r="1404" spans="1:14">
      <c r="A1404" s="2045"/>
      <c r="B1404" s="2045"/>
      <c r="C1404" s="2046"/>
      <c r="D1404" s="2046"/>
      <c r="E1404" s="2045"/>
      <c r="F1404" s="1590"/>
      <c r="G1404" s="1590"/>
      <c r="H1404" s="1590"/>
      <c r="I1404" s="2047"/>
      <c r="J1404" s="1590"/>
      <c r="K1404" s="1590"/>
      <c r="L1404" s="1590"/>
    </row>
    <row r="1405" spans="1:14">
      <c r="A1405" s="1963" t="s">
        <v>4731</v>
      </c>
      <c r="B1405" s="1963"/>
      <c r="C1405" s="1963"/>
      <c r="D1405" s="1963"/>
      <c r="E1405" s="1963"/>
      <c r="F1405" s="1964"/>
      <c r="G1405" s="1964"/>
      <c r="H1405" s="1964"/>
      <c r="I1405" s="1964"/>
      <c r="J1405" s="1964"/>
      <c r="K1405" s="1964"/>
      <c r="L1405" s="1964"/>
    </row>
    <row r="1406" spans="1:14">
      <c r="A1406" s="2045"/>
      <c r="B1406" s="2045"/>
      <c r="C1406" s="2050"/>
      <c r="D1406" s="2046"/>
      <c r="E1406" s="2045"/>
      <c r="F1406" s="1590"/>
      <c r="G1406" s="1590"/>
      <c r="H1406" s="1590"/>
      <c r="I1406" s="2047"/>
      <c r="J1406" s="1590"/>
      <c r="K1406" s="1590"/>
      <c r="L1406" s="1590"/>
    </row>
    <row r="1407" spans="1:14">
      <c r="A1407" s="2245" t="s">
        <v>2901</v>
      </c>
      <c r="B1407" s="2246" t="s">
        <v>2902</v>
      </c>
      <c r="C1407" s="2248" t="s">
        <v>2607</v>
      </c>
      <c r="D1407" s="2243" t="s">
        <v>2608</v>
      </c>
      <c r="E1407" s="2250" t="s">
        <v>2609</v>
      </c>
      <c r="F1407" s="1583" t="s">
        <v>2903</v>
      </c>
      <c r="G1407" s="1583"/>
      <c r="H1407" s="1583"/>
      <c r="I1407" s="1583" t="s">
        <v>2904</v>
      </c>
      <c r="J1407" s="1583"/>
      <c r="K1407" s="1583"/>
      <c r="L1407" s="1583" t="s">
        <v>2905</v>
      </c>
      <c r="M1407" s="2064" t="s">
        <v>2906</v>
      </c>
      <c r="N1407" s="2065" t="s">
        <v>2907</v>
      </c>
    </row>
    <row r="1408" spans="1:14">
      <c r="A1408" s="2245"/>
      <c r="B1408" s="2247"/>
      <c r="C1408" s="2249"/>
      <c r="D1408" s="2244"/>
      <c r="E1408" s="2251"/>
      <c r="F1408" s="1583" t="s">
        <v>2908</v>
      </c>
      <c r="G1408" s="1583" t="s">
        <v>2611</v>
      </c>
      <c r="H1408" s="1583" t="s">
        <v>2612</v>
      </c>
      <c r="I1408" s="1583" t="s">
        <v>2908</v>
      </c>
      <c r="J1408" s="1583" t="s">
        <v>2611</v>
      </c>
      <c r="K1408" s="1583" t="s">
        <v>2612</v>
      </c>
      <c r="L1408" s="1583"/>
      <c r="M1408" s="2064"/>
      <c r="N1408" s="2065"/>
    </row>
    <row r="1409" spans="1:16" s="2055" customFormat="1" ht="9">
      <c r="A1409" s="2051">
        <v>1185</v>
      </c>
      <c r="B1409" s="2052">
        <v>1</v>
      </c>
      <c r="C1409" s="2053" t="s">
        <v>4732</v>
      </c>
      <c r="D1409" s="2054" t="s">
        <v>4733</v>
      </c>
      <c r="E1409" s="2054" t="s">
        <v>514</v>
      </c>
      <c r="F1409" s="2066">
        <v>10000</v>
      </c>
      <c r="G1409" s="2066">
        <v>50240</v>
      </c>
      <c r="H1409" s="2066">
        <f>F1409*G1409</f>
        <v>502400000</v>
      </c>
      <c r="I1409" s="2066">
        <v>10000</v>
      </c>
      <c r="J1409" s="2066">
        <v>52750</v>
      </c>
      <c r="K1409" s="2066">
        <f>I1409*J1409</f>
        <v>527500000</v>
      </c>
      <c r="L1409" s="2066">
        <f t="shared" ref="L1409:L1411" si="93">J1409-G1409</f>
        <v>2510</v>
      </c>
      <c r="M1409" s="1894" t="s">
        <v>4734</v>
      </c>
      <c r="N1409" s="2067" t="s">
        <v>3355</v>
      </c>
    </row>
    <row r="1410" spans="1:16" s="2055" customFormat="1" ht="9">
      <c r="A1410" s="2051">
        <v>1186</v>
      </c>
      <c r="B1410" s="2057">
        <v>2</v>
      </c>
      <c r="C1410" s="2053" t="s">
        <v>4735</v>
      </c>
      <c r="D1410" s="2054" t="s">
        <v>4736</v>
      </c>
      <c r="E1410" s="2054" t="s">
        <v>514</v>
      </c>
      <c r="F1410" s="2036">
        <v>20000</v>
      </c>
      <c r="G1410" s="2036">
        <v>26800</v>
      </c>
      <c r="H1410" s="2036">
        <f>F1410*G1410</f>
        <v>536000000</v>
      </c>
      <c r="I1410" s="2036">
        <v>20000</v>
      </c>
      <c r="J1410" s="2036">
        <v>28500</v>
      </c>
      <c r="K1410" s="2036">
        <f>I1410*J1410</f>
        <v>570000000</v>
      </c>
      <c r="L1410" s="2036">
        <f t="shared" si="93"/>
        <v>1700</v>
      </c>
      <c r="M1410" s="1889" t="s">
        <v>4734</v>
      </c>
      <c r="N1410" s="2067" t="s">
        <v>3355</v>
      </c>
    </row>
    <row r="1411" spans="1:16" s="2055" customFormat="1" ht="9">
      <c r="A1411" s="2051">
        <v>1187</v>
      </c>
      <c r="B1411" s="2057">
        <v>3</v>
      </c>
      <c r="C1411" s="2053" t="s">
        <v>4737</v>
      </c>
      <c r="D1411" s="2054" t="s">
        <v>4733</v>
      </c>
      <c r="E1411" s="2054" t="s">
        <v>514</v>
      </c>
      <c r="F1411" s="2036">
        <v>6000</v>
      </c>
      <c r="G1411" s="2036">
        <v>20000</v>
      </c>
      <c r="H1411" s="2048">
        <f>F1411*G1411</f>
        <v>120000000</v>
      </c>
      <c r="I1411" s="2048">
        <v>6000</v>
      </c>
      <c r="J1411" s="2048">
        <v>21000</v>
      </c>
      <c r="K1411" s="2048">
        <f>I1411*J1411</f>
        <v>126000000</v>
      </c>
      <c r="L1411" s="2048">
        <f t="shared" si="93"/>
        <v>1000</v>
      </c>
      <c r="M1411" s="1893" t="s">
        <v>4734</v>
      </c>
      <c r="N1411" s="2067" t="s">
        <v>3355</v>
      </c>
    </row>
    <row r="1412" spans="1:16" s="2055" customFormat="1" ht="9">
      <c r="A1412" s="2059"/>
      <c r="B1412" s="2060"/>
      <c r="C1412" s="2061" t="s">
        <v>4613</v>
      </c>
      <c r="D1412" s="2060"/>
      <c r="E1412" s="2060"/>
      <c r="F1412" s="2060"/>
      <c r="G1412" s="2060"/>
      <c r="H1412" s="1547">
        <f>SUM(H1409:H1411)</f>
        <v>1158400000</v>
      </c>
      <c r="I1412" s="1667"/>
      <c r="J1412" s="1583"/>
      <c r="K1412" s="1547">
        <f>SUM(K1409:K1411)</f>
        <v>1223500000</v>
      </c>
      <c r="L1412" s="1547"/>
      <c r="M1412" s="2062"/>
      <c r="N1412" s="2063"/>
    </row>
    <row r="1413" spans="1:16">
      <c r="A1413" s="2068"/>
      <c r="B1413" s="2069"/>
      <c r="C1413" s="2257" t="s">
        <v>4738</v>
      </c>
      <c r="D1413" s="2257"/>
      <c r="E1413" s="2069"/>
      <c r="F1413" s="2070"/>
      <c r="G1413" s="2070"/>
      <c r="H1413" s="2071">
        <f>H1412+H1402+H1388+H1318+H1298+H1255+H1115+H1103+H1006+H972+H930+H845+H651+H522+H484+H466+H393+H376+H348+H285+H167+H56+H33+H23+H13</f>
        <v>128607447860.04762</v>
      </c>
      <c r="I1413" s="2072"/>
      <c r="J1413" s="2258"/>
      <c r="K1413" s="2258"/>
      <c r="L1413" s="2073"/>
      <c r="M1413" s="2074"/>
      <c r="N1413" s="2075"/>
    </row>
    <row r="1414" spans="1:16">
      <c r="A1414" s="2068"/>
      <c r="B1414" s="2069"/>
      <c r="C1414" s="2076" t="s">
        <v>4739</v>
      </c>
      <c r="D1414" s="2069"/>
      <c r="E1414" s="2069"/>
      <c r="F1414" s="2070"/>
      <c r="G1414" s="2070"/>
      <c r="H1414" s="2070"/>
      <c r="I1414" s="2072"/>
      <c r="J1414" s="2070"/>
      <c r="K1414" s="2070"/>
      <c r="L1414" s="2070"/>
      <c r="M1414" s="2074"/>
      <c r="N1414" s="2075"/>
    </row>
    <row r="1415" spans="1:16" ht="14.25">
      <c r="A1415" s="2077"/>
      <c r="B1415" s="2077"/>
      <c r="C1415" s="2259"/>
      <c r="D1415" s="2259"/>
      <c r="E1415" s="2259"/>
      <c r="F1415" s="2259"/>
      <c r="G1415" s="2259"/>
      <c r="H1415" s="2259"/>
      <c r="I1415" s="2259"/>
      <c r="J1415" s="2259"/>
      <c r="K1415" s="2259"/>
      <c r="L1415" s="2078"/>
      <c r="M1415" s="2260" t="s">
        <v>2601</v>
      </c>
      <c r="N1415" s="2260"/>
      <c r="O1415" s="2079"/>
      <c r="P1415" s="2079"/>
    </row>
    <row r="1416" spans="1:16" ht="15">
      <c r="M1416" s="2261" t="s">
        <v>2602</v>
      </c>
      <c r="N1416" s="2261"/>
      <c r="O1416" s="2080"/>
      <c r="P1416" s="2080"/>
    </row>
  </sheetData>
  <protectedRanges>
    <protectedRange sqref="C1264 C1267:C1269 C1271" name="Pricing_67_1_1_3" securityDescriptor="O:WDG:WDD:(A;;CC;;;S-1-5-21-1935655697-583907252-1801674531-1541)(A;;CC;;;S-1-5-21-1935655697-583907252-1801674531-35516)(A;;CC;;;S-1-5-21-1935655697-583907252-1801674531-23136)(A;;CC;;;S-1-5-21-1935655697-583907252-1801674531-47831)(A;;CC;;;S-1-5-21-1935655697-583907252-1801674531-7118)(A;;CC;;;S-1-5-21-1935655697-583907252-1801674531-7388)"/>
    <protectedRange sqref="C1265:C1266 C1270 C1272 C1277:C1283" name="Pricing_67_1_1_4" securityDescriptor="O:WDG:WDD:(A;;CC;;;S-1-5-21-1935655697-583907252-1801674531-1541)(A;;CC;;;S-1-5-21-1935655697-583907252-1801674531-35516)(A;;CC;;;S-1-5-21-1935655697-583907252-1801674531-23136)(A;;CC;;;S-1-5-21-1935655697-583907252-1801674531-47831)(A;;CC;;;S-1-5-21-1935655697-583907252-1801674531-7118)(A;;CC;;;S-1-5-21-1935655697-583907252-1801674531-7388)"/>
    <protectedRange sqref="C1275:C1276" name="Pricing_67_1_1_5" securityDescriptor="O:WDG:WDD:(A;;CC;;;S-1-5-21-1935655697-583907252-1801674531-1541)(A;;CC;;;S-1-5-21-1935655697-583907252-1801674531-35516)(A;;CC;;;S-1-5-21-1935655697-583907252-1801674531-23136)(A;;CC;;;S-1-5-21-1935655697-583907252-1801674531-47831)(A;;CC;;;S-1-5-21-1935655697-583907252-1801674531-7118)(A;;CC;;;S-1-5-21-1935655697-583907252-1801674531-7388)"/>
  </protectedRanges>
  <mergeCells count="282">
    <mergeCell ref="C1413:D1413"/>
    <mergeCell ref="J1413:K1413"/>
    <mergeCell ref="C1415:K1415"/>
    <mergeCell ref="M1415:N1415"/>
    <mergeCell ref="M1416:N1416"/>
    <mergeCell ref="F1392:H1392"/>
    <mergeCell ref="I1392:K1392"/>
    <mergeCell ref="M1392:M1393"/>
    <mergeCell ref="N1392:N1393"/>
    <mergeCell ref="N1304:N1305"/>
    <mergeCell ref="B1325:K1325"/>
    <mergeCell ref="A1327:A1328"/>
    <mergeCell ref="B1327:B1328"/>
    <mergeCell ref="C1327:C1328"/>
    <mergeCell ref="D1327:D1328"/>
    <mergeCell ref="E1327:E1328"/>
    <mergeCell ref="A1407:A1408"/>
    <mergeCell ref="B1407:B1408"/>
    <mergeCell ref="C1407:C1408"/>
    <mergeCell ref="D1407:D1408"/>
    <mergeCell ref="E1407:E1408"/>
    <mergeCell ref="F1327:H1327"/>
    <mergeCell ref="I1327:K1327"/>
    <mergeCell ref="M1327:M1328"/>
    <mergeCell ref="N1327:N1328"/>
    <mergeCell ref="A1390:K1390"/>
    <mergeCell ref="A1392:A1393"/>
    <mergeCell ref="B1392:B1393"/>
    <mergeCell ref="C1392:C1393"/>
    <mergeCell ref="D1392:D1393"/>
    <mergeCell ref="E1392:E1393"/>
    <mergeCell ref="A1302:K1302"/>
    <mergeCell ref="A1304:A1305"/>
    <mergeCell ref="B1304:B1305"/>
    <mergeCell ref="C1304:C1305"/>
    <mergeCell ref="D1304:D1305"/>
    <mergeCell ref="E1304:E1305"/>
    <mergeCell ref="F1304:H1304"/>
    <mergeCell ref="I1304:K1304"/>
    <mergeCell ref="M1304:M1305"/>
    <mergeCell ref="M1122:M1123"/>
    <mergeCell ref="N1122:N1123"/>
    <mergeCell ref="A1260:K1260"/>
    <mergeCell ref="A1262:A1263"/>
    <mergeCell ref="B1262:B1263"/>
    <mergeCell ref="C1262:C1263"/>
    <mergeCell ref="D1262:D1263"/>
    <mergeCell ref="E1262:E1263"/>
    <mergeCell ref="F1262:H1262"/>
    <mergeCell ref="I1262:K1262"/>
    <mergeCell ref="M1262:M1263"/>
    <mergeCell ref="N1262:N1263"/>
    <mergeCell ref="I1119:K1119"/>
    <mergeCell ref="A1120:K1120"/>
    <mergeCell ref="A1122:A1123"/>
    <mergeCell ref="B1122:B1123"/>
    <mergeCell ref="C1122:C1123"/>
    <mergeCell ref="D1122:D1123"/>
    <mergeCell ref="E1122:E1123"/>
    <mergeCell ref="F1122:H1122"/>
    <mergeCell ref="I1122:K1122"/>
    <mergeCell ref="I1027:K1027"/>
    <mergeCell ref="M1027:M1028"/>
    <mergeCell ref="N1027:N1028"/>
    <mergeCell ref="A1106:K1106"/>
    <mergeCell ref="A1108:A1109"/>
    <mergeCell ref="B1108:B1109"/>
    <mergeCell ref="C1108:C1109"/>
    <mergeCell ref="D1108:D1109"/>
    <mergeCell ref="E1108:E1109"/>
    <mergeCell ref="F1108:H1108"/>
    <mergeCell ref="A1027:A1028"/>
    <mergeCell ref="B1027:B1028"/>
    <mergeCell ref="C1027:C1028"/>
    <mergeCell ref="D1027:D1028"/>
    <mergeCell ref="E1027:E1028"/>
    <mergeCell ref="F1027:H1027"/>
    <mergeCell ref="I1108:K1108"/>
    <mergeCell ref="M1108:M1109"/>
    <mergeCell ref="N1108:N1109"/>
    <mergeCell ref="I979:K979"/>
    <mergeCell ref="M979:M980"/>
    <mergeCell ref="N979:N980"/>
    <mergeCell ref="A1012:A1013"/>
    <mergeCell ref="B1012:B1013"/>
    <mergeCell ref="C1012:C1013"/>
    <mergeCell ref="D1012:D1013"/>
    <mergeCell ref="E1012:E1013"/>
    <mergeCell ref="I1012:K1012"/>
    <mergeCell ref="A979:A980"/>
    <mergeCell ref="B979:B980"/>
    <mergeCell ref="C979:C980"/>
    <mergeCell ref="D979:D980"/>
    <mergeCell ref="E979:E980"/>
    <mergeCell ref="F979:H979"/>
    <mergeCell ref="N962:N963"/>
    <mergeCell ref="A976:K976"/>
    <mergeCell ref="A978:E978"/>
    <mergeCell ref="F937:H937"/>
    <mergeCell ref="I937:K937"/>
    <mergeCell ref="M937:M938"/>
    <mergeCell ref="N937:N938"/>
    <mergeCell ref="A960:K960"/>
    <mergeCell ref="A962:A963"/>
    <mergeCell ref="B962:B963"/>
    <mergeCell ref="C962:C963"/>
    <mergeCell ref="D962:D963"/>
    <mergeCell ref="E962:E963"/>
    <mergeCell ref="A935:K935"/>
    <mergeCell ref="A937:A938"/>
    <mergeCell ref="B937:B938"/>
    <mergeCell ref="C937:C938"/>
    <mergeCell ref="D937:D938"/>
    <mergeCell ref="E937:E938"/>
    <mergeCell ref="F962:H962"/>
    <mergeCell ref="I962:K962"/>
    <mergeCell ref="M962:M963"/>
    <mergeCell ref="N656:N657"/>
    <mergeCell ref="A849:K849"/>
    <mergeCell ref="A851:A852"/>
    <mergeCell ref="B851:B852"/>
    <mergeCell ref="C851:C852"/>
    <mergeCell ref="D851:D852"/>
    <mergeCell ref="E851:E852"/>
    <mergeCell ref="F851:H851"/>
    <mergeCell ref="I851:K851"/>
    <mergeCell ref="M851:M852"/>
    <mergeCell ref="N851:N852"/>
    <mergeCell ref="A654:K654"/>
    <mergeCell ref="A656:A657"/>
    <mergeCell ref="B656:B657"/>
    <mergeCell ref="C656:C657"/>
    <mergeCell ref="D656:D657"/>
    <mergeCell ref="E656:E657"/>
    <mergeCell ref="F656:H656"/>
    <mergeCell ref="I656:K656"/>
    <mergeCell ref="M656:M657"/>
    <mergeCell ref="M490:M491"/>
    <mergeCell ref="N490:N491"/>
    <mergeCell ref="A524:K524"/>
    <mergeCell ref="A526:A527"/>
    <mergeCell ref="B526:B527"/>
    <mergeCell ref="C526:C527"/>
    <mergeCell ref="D526:D527"/>
    <mergeCell ref="E526:E527"/>
    <mergeCell ref="F526:H526"/>
    <mergeCell ref="I526:K526"/>
    <mergeCell ref="M526:M527"/>
    <mergeCell ref="N526:N527"/>
    <mergeCell ref="A487:K487"/>
    <mergeCell ref="A488:K488"/>
    <mergeCell ref="B489:K489"/>
    <mergeCell ref="A490:A491"/>
    <mergeCell ref="B490:B491"/>
    <mergeCell ref="C490:C491"/>
    <mergeCell ref="D490:D491"/>
    <mergeCell ref="E490:E491"/>
    <mergeCell ref="F490:H490"/>
    <mergeCell ref="I490:K490"/>
    <mergeCell ref="N417:N418"/>
    <mergeCell ref="A470:K470"/>
    <mergeCell ref="A472:A473"/>
    <mergeCell ref="B472:B473"/>
    <mergeCell ref="C472:C473"/>
    <mergeCell ref="D472:D473"/>
    <mergeCell ref="E472:E473"/>
    <mergeCell ref="F472:H472"/>
    <mergeCell ref="I472:K472"/>
    <mergeCell ref="M472:M473"/>
    <mergeCell ref="N472:N473"/>
    <mergeCell ref="A415:K415"/>
    <mergeCell ref="A417:A418"/>
    <mergeCell ref="B417:B418"/>
    <mergeCell ref="C417:C418"/>
    <mergeCell ref="D417:D418"/>
    <mergeCell ref="E417:E418"/>
    <mergeCell ref="F417:H417"/>
    <mergeCell ref="I417:K417"/>
    <mergeCell ref="M417:M418"/>
    <mergeCell ref="N384:N385"/>
    <mergeCell ref="A398:K398"/>
    <mergeCell ref="A401:A402"/>
    <mergeCell ref="B401:B402"/>
    <mergeCell ref="C401:C402"/>
    <mergeCell ref="D401:D402"/>
    <mergeCell ref="E401:E402"/>
    <mergeCell ref="F401:H401"/>
    <mergeCell ref="I401:K401"/>
    <mergeCell ref="A382:K382"/>
    <mergeCell ref="A384:A385"/>
    <mergeCell ref="B384:B385"/>
    <mergeCell ref="C384:C385"/>
    <mergeCell ref="D384:D385"/>
    <mergeCell ref="E384:E385"/>
    <mergeCell ref="F384:H384"/>
    <mergeCell ref="I384:K384"/>
    <mergeCell ref="M384:M385"/>
    <mergeCell ref="N291:N292"/>
    <mergeCell ref="A351:K351"/>
    <mergeCell ref="A352:A353"/>
    <mergeCell ref="B352:B353"/>
    <mergeCell ref="C352:C353"/>
    <mergeCell ref="D352:D353"/>
    <mergeCell ref="E352:E353"/>
    <mergeCell ref="F352:H352"/>
    <mergeCell ref="I352:K352"/>
    <mergeCell ref="M352:M353"/>
    <mergeCell ref="N352:N353"/>
    <mergeCell ref="A289:K289"/>
    <mergeCell ref="A291:A292"/>
    <mergeCell ref="B291:B292"/>
    <mergeCell ref="C291:C292"/>
    <mergeCell ref="D291:D292"/>
    <mergeCell ref="E291:E292"/>
    <mergeCell ref="F291:H291"/>
    <mergeCell ref="I291:K291"/>
    <mergeCell ref="M291:M292"/>
    <mergeCell ref="I61:K61"/>
    <mergeCell ref="M61:M62"/>
    <mergeCell ref="N61:N62"/>
    <mergeCell ref="A171:K171"/>
    <mergeCell ref="A173:A174"/>
    <mergeCell ref="B173:B174"/>
    <mergeCell ref="C173:C174"/>
    <mergeCell ref="D173:D174"/>
    <mergeCell ref="E173:E174"/>
    <mergeCell ref="F173:H173"/>
    <mergeCell ref="A61:A62"/>
    <mergeCell ref="B61:B62"/>
    <mergeCell ref="C61:C62"/>
    <mergeCell ref="D61:D62"/>
    <mergeCell ref="E61:E62"/>
    <mergeCell ref="F61:H61"/>
    <mergeCell ref="I173:K173"/>
    <mergeCell ref="M173:M174"/>
    <mergeCell ref="N173:N174"/>
    <mergeCell ref="L40:L41"/>
    <mergeCell ref="M40:M41"/>
    <mergeCell ref="N40:N41"/>
    <mergeCell ref="A59:K59"/>
    <mergeCell ref="I28:K28"/>
    <mergeCell ref="L28:L29"/>
    <mergeCell ref="M28:M29"/>
    <mergeCell ref="N28:N29"/>
    <mergeCell ref="A38:K38"/>
    <mergeCell ref="A40:A41"/>
    <mergeCell ref="B40:B41"/>
    <mergeCell ref="C40:C41"/>
    <mergeCell ref="D40:D41"/>
    <mergeCell ref="E40:E41"/>
    <mergeCell ref="A26:K26"/>
    <mergeCell ref="A28:A29"/>
    <mergeCell ref="B28:B29"/>
    <mergeCell ref="C28:C29"/>
    <mergeCell ref="D28:D29"/>
    <mergeCell ref="E28:E29"/>
    <mergeCell ref="F28:H28"/>
    <mergeCell ref="F40:H40"/>
    <mergeCell ref="I40:K40"/>
    <mergeCell ref="A16:K16"/>
    <mergeCell ref="A18:A19"/>
    <mergeCell ref="B18:B19"/>
    <mergeCell ref="C18:C19"/>
    <mergeCell ref="D18:D19"/>
    <mergeCell ref="E18:E19"/>
    <mergeCell ref="L18:L19"/>
    <mergeCell ref="M18:M19"/>
    <mergeCell ref="N18:N19"/>
    <mergeCell ref="C2:N2"/>
    <mergeCell ref="C3:N3"/>
    <mergeCell ref="C4:N4"/>
    <mergeCell ref="A5:J5"/>
    <mergeCell ref="A6:K6"/>
    <mergeCell ref="A8:A9"/>
    <mergeCell ref="B8:B9"/>
    <mergeCell ref="C8:C9"/>
    <mergeCell ref="D8:D9"/>
    <mergeCell ref="E8:E9"/>
    <mergeCell ref="F8:H8"/>
    <mergeCell ref="I8:K8"/>
    <mergeCell ref="M8:M9"/>
    <mergeCell ref="N8:N9"/>
  </mergeCells>
  <conditionalFormatting sqref="D748:D754 D756:D834">
    <cfRule type="expression" dxfId="210" priority="1" stopIfTrue="1">
      <formula>(#REF!=NOT(TRUE))</formula>
    </cfRule>
    <cfRule type="expression" dxfId="209" priority="2" stopIfTrue="1">
      <formula>((ISNA(#REF!)))</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GÓI 1</vt:lpstr>
      <vt:lpstr>GÓI 2</vt:lpstr>
      <vt:lpstr>GÓI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Smart</cp:lastModifiedBy>
  <dcterms:created xsi:type="dcterms:W3CDTF">2016-09-01T07:55:49Z</dcterms:created>
  <dcterms:modified xsi:type="dcterms:W3CDTF">2016-09-01T00:51:13Z</dcterms:modified>
</cp:coreProperties>
</file>